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АЙТ\3 кв 2017\"/>
    </mc:Choice>
  </mc:AlternateContent>
  <bookViews>
    <workbookView xWindow="120" yWindow="15" windowWidth="15480" windowHeight="11640" tabRatio="840"/>
  </bookViews>
  <sheets>
    <sheet name="титул" sheetId="16" r:id="rId1"/>
    <sheet name="свод" sheetId="9" r:id="rId2"/>
    <sheet name="пр.1+2 " sheetId="4" r:id="rId3"/>
    <sheet name="пр.3" sheetId="5" r:id="rId4"/>
    <sheet name="пр.4" sheetId="6" r:id="rId5"/>
    <sheet name="пр.5" sheetId="7" r:id="rId6"/>
    <sheet name="пр.6" sheetId="8" r:id="rId7"/>
    <sheet name="проверка 2017" sheetId="10" r:id="rId8"/>
    <sheet name="проверка 2018" sheetId="14" r:id="rId9"/>
    <sheet name="проверка 2019" sheetId="15" r:id="rId10"/>
    <sheet name="304" sheetId="13" r:id="rId11"/>
  </sheets>
  <externalReferences>
    <externalReference r:id="rId12"/>
    <externalReference r:id="rId13"/>
  </externalReferences>
  <definedNames>
    <definedName name="_xlnm.Print_Area" localSheetId="2">'пр.1+2 '!$A$1:$G$104</definedName>
    <definedName name="_xlnm.Print_Area" localSheetId="1">свод!$A$1:$J$121</definedName>
  </definedNames>
  <calcPr calcId="162913"/>
</workbook>
</file>

<file path=xl/calcChain.xml><?xml version="1.0" encoding="utf-8"?>
<calcChain xmlns="http://schemas.openxmlformats.org/spreadsheetml/2006/main">
  <c r="F9" i="13" l="1"/>
  <c r="D9" i="13"/>
  <c r="C9" i="13"/>
  <c r="F26" i="5"/>
  <c r="F38" i="5"/>
  <c r="F21" i="7" l="1"/>
  <c r="F19" i="7"/>
  <c r="F16" i="7"/>
  <c r="F15" i="7"/>
  <c r="F7" i="7"/>
  <c r="F6" i="7"/>
  <c r="A61" i="9" l="1"/>
  <c r="F24" i="5"/>
  <c r="F61" i="9" s="1"/>
  <c r="F52" i="5"/>
  <c r="F71" i="9" s="1"/>
  <c r="F53" i="5"/>
  <c r="F70" i="9" s="1"/>
  <c r="A74" i="9"/>
  <c r="A73" i="9"/>
  <c r="A59" i="9"/>
  <c r="F54" i="5" l="1"/>
  <c r="F73" i="9" s="1"/>
  <c r="F55" i="5"/>
  <c r="F74" i="9" s="1"/>
  <c r="F56" i="5"/>
  <c r="F72" i="9" s="1"/>
  <c r="F46" i="5"/>
  <c r="F35" i="5"/>
  <c r="F34" i="5"/>
  <c r="F36" i="5"/>
  <c r="F37" i="5"/>
  <c r="Q41" i="4" l="1"/>
  <c r="A87" i="4" l="1"/>
  <c r="F87" i="4" s="1"/>
  <c r="S34" i="4"/>
  <c r="O42" i="4"/>
  <c r="M42" i="4"/>
  <c r="L41" i="4"/>
  <c r="L42" i="4" s="1"/>
  <c r="N40" i="4"/>
  <c r="N42" i="4" s="1"/>
  <c r="N44" i="4"/>
  <c r="N31" i="10"/>
  <c r="O31" i="10"/>
  <c r="N30" i="10"/>
  <c r="O30" i="10"/>
  <c r="G87" i="4" l="1"/>
  <c r="I39" i="10" l="1"/>
  <c r="H39" i="10"/>
  <c r="I38" i="10"/>
  <c r="A69" i="4"/>
  <c r="H38" i="10"/>
  <c r="O36" i="4" l="1"/>
  <c r="O38" i="4" s="1"/>
  <c r="P36" i="4"/>
  <c r="P38" i="4" s="1"/>
  <c r="M36" i="4"/>
  <c r="M38" i="4" s="1"/>
  <c r="Q35" i="4"/>
  <c r="L35" i="4"/>
  <c r="L36" i="4" s="1"/>
  <c r="L38" i="4" s="1"/>
  <c r="P32" i="4"/>
  <c r="O32" i="4"/>
  <c r="M32" i="4"/>
  <c r="Q31" i="4"/>
  <c r="L31" i="4"/>
  <c r="L32" i="4" s="1"/>
  <c r="N30" i="4"/>
  <c r="N32" i="4" s="1"/>
  <c r="P24" i="4"/>
  <c r="O24" i="4"/>
  <c r="M24" i="4"/>
  <c r="Q23" i="4"/>
  <c r="L23" i="4"/>
  <c r="L24" i="4" s="1"/>
  <c r="N22" i="4"/>
  <c r="N24" i="4" s="1"/>
  <c r="O11" i="4"/>
  <c r="M11" i="4"/>
  <c r="Q10" i="4"/>
  <c r="P10" i="4"/>
  <c r="L10" i="4"/>
  <c r="L11" i="4" s="1"/>
  <c r="N9" i="4"/>
  <c r="N11" i="4" s="1"/>
  <c r="P11" i="4" s="1"/>
  <c r="F33" i="5"/>
  <c r="F22" i="7"/>
  <c r="H22" i="7" s="1"/>
  <c r="F102" i="9" s="1"/>
  <c r="H21" i="7"/>
  <c r="F20" i="7"/>
  <c r="H20" i="7" s="1"/>
  <c r="H19" i="7"/>
  <c r="F18" i="7"/>
  <c r="H18" i="7" s="1"/>
  <c r="F17" i="7"/>
  <c r="H17" i="7" s="1"/>
  <c r="H16" i="7"/>
  <c r="H15" i="7"/>
  <c r="F14" i="7"/>
  <c r="H14" i="7" s="1"/>
  <c r="F13" i="7"/>
  <c r="H13" i="7" s="1"/>
  <c r="F12" i="7"/>
  <c r="H12" i="7" s="1"/>
  <c r="F11" i="7"/>
  <c r="H11" i="7" s="1"/>
  <c r="F10" i="7"/>
  <c r="H10" i="7" s="1"/>
  <c r="F9" i="7"/>
  <c r="H9" i="7" s="1"/>
  <c r="F8" i="7"/>
  <c r="H8" i="7" s="1"/>
  <c r="H7" i="7"/>
  <c r="H6" i="7"/>
  <c r="F20" i="8"/>
  <c r="H20" i="8" s="1"/>
  <c r="F113" i="9" s="1"/>
  <c r="F19" i="8"/>
  <c r="H19" i="8" s="1"/>
  <c r="F18" i="8"/>
  <c r="H18" i="8" s="1"/>
  <c r="F17" i="8"/>
  <c r="H17" i="8" s="1"/>
  <c r="F16" i="8"/>
  <c r="H16" i="8" s="1"/>
  <c r="D7" i="8"/>
  <c r="D6" i="8"/>
  <c r="Q32" i="4" l="1"/>
  <c r="Q24" i="4"/>
  <c r="F98" i="9"/>
  <c r="F112" i="9"/>
  <c r="F99" i="9"/>
  <c r="F101" i="9"/>
  <c r="F39" i="5"/>
  <c r="F65" i="9"/>
  <c r="F100" i="9"/>
  <c r="N34" i="4"/>
  <c r="Q11" i="4"/>
  <c r="N36" i="4" l="1"/>
  <c r="Q36" i="4" s="1"/>
  <c r="N38" i="4" l="1"/>
  <c r="Q38" i="4" s="1"/>
  <c r="D30" i="10"/>
  <c r="E30" i="10" s="1"/>
  <c r="B50" i="4"/>
  <c r="D95" i="4" l="1"/>
  <c r="D94" i="4"/>
  <c r="D78" i="4"/>
  <c r="B78" i="4" s="1"/>
  <c r="D77" i="4"/>
  <c r="B77" i="4" s="1"/>
  <c r="E4" i="10"/>
  <c r="C16" i="10"/>
  <c r="A4" i="13"/>
  <c r="F21" i="10" l="1"/>
  <c r="F31" i="10"/>
  <c r="F30" i="10"/>
  <c r="B95" i="4"/>
  <c r="D51" i="4"/>
  <c r="B51" i="4" s="1"/>
  <c r="D15" i="10"/>
  <c r="E15" i="10" s="1"/>
  <c r="B94" i="4"/>
  <c r="D14" i="10"/>
  <c r="E14" i="10" s="1"/>
  <c r="C6" i="10"/>
  <c r="F19" i="10"/>
  <c r="I19" i="10" s="1"/>
  <c r="J6" i="14"/>
  <c r="J6" i="15" s="1"/>
  <c r="K6" i="14"/>
  <c r="K6" i="15" s="1"/>
  <c r="L6" i="14"/>
  <c r="L6" i="15" s="1"/>
  <c r="M6" i="14"/>
  <c r="M6" i="15" s="1"/>
  <c r="N6" i="14"/>
  <c r="N6" i="15" s="1"/>
  <c r="O6" i="14"/>
  <c r="O6" i="15" s="1"/>
  <c r="I6" i="14"/>
  <c r="I6" i="15" s="1"/>
  <c r="I30" i="10" l="1"/>
  <c r="K30" i="10" s="1"/>
  <c r="J30" i="10"/>
  <c r="M30" i="10"/>
  <c r="L30" i="10"/>
  <c r="I31" i="10"/>
  <c r="J31" i="10"/>
  <c r="M31" i="10"/>
  <c r="L31" i="10"/>
  <c r="F20" i="5"/>
  <c r="F58" i="5"/>
  <c r="F57" i="5"/>
  <c r="N28" i="15"/>
  <c r="N27" i="15"/>
  <c r="N26" i="15"/>
  <c r="N25" i="15"/>
  <c r="N24" i="15"/>
  <c r="N23" i="15"/>
  <c r="N22" i="15"/>
  <c r="N21" i="15"/>
  <c r="N20" i="15"/>
  <c r="N19" i="15"/>
  <c r="N18" i="15"/>
  <c r="N17" i="15"/>
  <c r="N14" i="15"/>
  <c r="C14" i="15"/>
  <c r="N28" i="14"/>
  <c r="N27" i="14"/>
  <c r="N26" i="14"/>
  <c r="N25" i="14"/>
  <c r="N24" i="14"/>
  <c r="N23" i="14"/>
  <c r="N22" i="14"/>
  <c r="N21" i="14"/>
  <c r="N20" i="14"/>
  <c r="N19" i="14"/>
  <c r="N18" i="14"/>
  <c r="N17" i="14"/>
  <c r="N14" i="14"/>
  <c r="C14" i="14"/>
  <c r="C6" i="14" s="1"/>
  <c r="K31" i="10" l="1"/>
  <c r="H31" i="10" s="1"/>
  <c r="G31" i="10" s="1"/>
  <c r="H30" i="10"/>
  <c r="G30" i="10" s="1"/>
  <c r="C6" i="15"/>
  <c r="E4" i="15"/>
  <c r="O8" i="15"/>
  <c r="H8" i="15" s="1"/>
  <c r="O9" i="15"/>
  <c r="H9" i="15" s="1"/>
  <c r="E4" i="14"/>
  <c r="O8" i="14"/>
  <c r="H8" i="14" s="1"/>
  <c r="O9" i="14"/>
  <c r="H9" i="14" s="1"/>
  <c r="D10" i="8"/>
  <c r="F26" i="6"/>
  <c r="F27" i="15" l="1"/>
  <c r="M27" i="15" s="1"/>
  <c r="F26" i="15"/>
  <c r="M26" i="15" s="1"/>
  <c r="F25" i="15"/>
  <c r="M25" i="15" s="1"/>
  <c r="F24" i="15"/>
  <c r="M24" i="15" s="1"/>
  <c r="F23" i="15"/>
  <c r="M23" i="15" s="1"/>
  <c r="F22" i="15"/>
  <c r="M22" i="15" s="1"/>
  <c r="F21" i="15"/>
  <c r="M21" i="15" s="1"/>
  <c r="F20" i="15"/>
  <c r="M20" i="15" s="1"/>
  <c r="F19" i="15"/>
  <c r="M19" i="15" s="1"/>
  <c r="F18" i="15"/>
  <c r="M18" i="15" s="1"/>
  <c r="F17" i="15"/>
  <c r="F10" i="15"/>
  <c r="F27" i="14"/>
  <c r="M27" i="14" s="1"/>
  <c r="F26" i="14"/>
  <c r="M26" i="14" s="1"/>
  <c r="F25" i="14"/>
  <c r="M25" i="14" s="1"/>
  <c r="F24" i="14"/>
  <c r="M24" i="14" s="1"/>
  <c r="F23" i="14"/>
  <c r="M23" i="14" s="1"/>
  <c r="F22" i="14"/>
  <c r="M22" i="14" s="1"/>
  <c r="F21" i="14"/>
  <c r="M21" i="14" s="1"/>
  <c r="F20" i="14"/>
  <c r="M20" i="14" s="1"/>
  <c r="F19" i="14"/>
  <c r="M19" i="14" s="1"/>
  <c r="F18" i="14"/>
  <c r="M18" i="14" s="1"/>
  <c r="F17" i="14"/>
  <c r="F10" i="14"/>
  <c r="S35" i="4"/>
  <c r="C13" i="13"/>
  <c r="A10" i="13"/>
  <c r="A11" i="13" s="1"/>
  <c r="A12" i="13" s="1"/>
  <c r="A13" i="13" s="1"/>
  <c r="A14" i="13" s="1"/>
  <c r="H9" i="13"/>
  <c r="K17" i="15" l="1"/>
  <c r="M17" i="15"/>
  <c r="K17" i="14"/>
  <c r="M17" i="14"/>
  <c r="L25" i="15"/>
  <c r="J25" i="15"/>
  <c r="I25" i="15"/>
  <c r="K25" i="15" s="1"/>
  <c r="O25" i="15"/>
  <c r="I17" i="15"/>
  <c r="L17" i="15"/>
  <c r="J17" i="15"/>
  <c r="O17" i="15"/>
  <c r="I19" i="15"/>
  <c r="K19" i="15" s="1"/>
  <c r="L19" i="15"/>
  <c r="J19" i="15"/>
  <c r="O19" i="15"/>
  <c r="I21" i="15"/>
  <c r="K21" i="15" s="1"/>
  <c r="L21" i="15"/>
  <c r="J21" i="15"/>
  <c r="O21" i="15"/>
  <c r="L23" i="15"/>
  <c r="J23" i="15"/>
  <c r="I23" i="15"/>
  <c r="K23" i="15" s="1"/>
  <c r="O23" i="15"/>
  <c r="L27" i="15"/>
  <c r="J27" i="15"/>
  <c r="I27" i="15"/>
  <c r="K27" i="15" s="1"/>
  <c r="O27" i="15"/>
  <c r="O10" i="15"/>
  <c r="O14" i="15" s="1"/>
  <c r="M10" i="15"/>
  <c r="M14" i="15" s="1"/>
  <c r="K10" i="15"/>
  <c r="K14" i="15" s="1"/>
  <c r="I10" i="15"/>
  <c r="I14" i="15" s="1"/>
  <c r="N10" i="15"/>
  <c r="L10" i="15"/>
  <c r="L14" i="15" s="1"/>
  <c r="J10" i="15"/>
  <c r="J14" i="15" s="1"/>
  <c r="I18" i="15"/>
  <c r="K18" i="15" s="1"/>
  <c r="L18" i="15"/>
  <c r="J18" i="15"/>
  <c r="O18" i="15"/>
  <c r="I20" i="15"/>
  <c r="K20" i="15" s="1"/>
  <c r="L20" i="15"/>
  <c r="J20" i="15"/>
  <c r="O20" i="15"/>
  <c r="I22" i="15"/>
  <c r="K22" i="15" s="1"/>
  <c r="L22" i="15"/>
  <c r="J22" i="15"/>
  <c r="O22" i="15"/>
  <c r="L24" i="15"/>
  <c r="J24" i="15"/>
  <c r="I24" i="15"/>
  <c r="O24" i="15"/>
  <c r="L26" i="15"/>
  <c r="J26" i="15"/>
  <c r="I26" i="15"/>
  <c r="O26" i="15"/>
  <c r="O10" i="14"/>
  <c r="O14" i="14" s="1"/>
  <c r="M10" i="14"/>
  <c r="M14" i="14" s="1"/>
  <c r="K10" i="14"/>
  <c r="K14" i="14" s="1"/>
  <c r="I10" i="14"/>
  <c r="I14" i="14" s="1"/>
  <c r="N10" i="14"/>
  <c r="L10" i="14"/>
  <c r="L14" i="14" s="1"/>
  <c r="J10" i="14"/>
  <c r="J14" i="14" s="1"/>
  <c r="I20" i="14"/>
  <c r="K20" i="14" s="1"/>
  <c r="L20" i="14"/>
  <c r="J20" i="14"/>
  <c r="O20" i="14"/>
  <c r="I22" i="14"/>
  <c r="K22" i="14" s="1"/>
  <c r="L22" i="14"/>
  <c r="J22" i="14"/>
  <c r="O22" i="14"/>
  <c r="L24" i="14"/>
  <c r="J24" i="14"/>
  <c r="I24" i="14"/>
  <c r="K24" i="14" s="1"/>
  <c r="O24" i="14"/>
  <c r="I17" i="14"/>
  <c r="L17" i="14"/>
  <c r="J17" i="14"/>
  <c r="O17" i="14"/>
  <c r="I19" i="14"/>
  <c r="K19" i="14" s="1"/>
  <c r="L19" i="14"/>
  <c r="J19" i="14"/>
  <c r="O19" i="14"/>
  <c r="I21" i="14"/>
  <c r="K21" i="14" s="1"/>
  <c r="L21" i="14"/>
  <c r="J21" i="14"/>
  <c r="O21" i="14"/>
  <c r="L23" i="14"/>
  <c r="J23" i="14"/>
  <c r="I23" i="14"/>
  <c r="K23" i="14" s="1"/>
  <c r="O23" i="14"/>
  <c r="L25" i="14"/>
  <c r="J25" i="14"/>
  <c r="I25" i="14"/>
  <c r="K25" i="14" s="1"/>
  <c r="O25" i="14"/>
  <c r="L27" i="14"/>
  <c r="J27" i="14"/>
  <c r="I27" i="14"/>
  <c r="K27" i="14" s="1"/>
  <c r="O27" i="14"/>
  <c r="I18" i="14"/>
  <c r="K18" i="14" s="1"/>
  <c r="L18" i="14"/>
  <c r="J18" i="14"/>
  <c r="O18" i="14"/>
  <c r="L26" i="14"/>
  <c r="J26" i="14"/>
  <c r="I26" i="14"/>
  <c r="K26" i="14" s="1"/>
  <c r="O26" i="14"/>
  <c r="B2" i="9"/>
  <c r="K26" i="15" l="1"/>
  <c r="H26" i="15" s="1"/>
  <c r="G26" i="15" s="1"/>
  <c r="K24" i="15"/>
  <c r="H24" i="15" s="1"/>
  <c r="G24" i="15" s="1"/>
  <c r="H20" i="15"/>
  <c r="G20" i="15" s="1"/>
  <c r="H26" i="14"/>
  <c r="G26" i="14" s="1"/>
  <c r="H27" i="14"/>
  <c r="G27" i="14" s="1"/>
  <c r="H25" i="14"/>
  <c r="G25" i="14" s="1"/>
  <c r="H23" i="14"/>
  <c r="G23" i="14" s="1"/>
  <c r="H24" i="14"/>
  <c r="G24" i="14" s="1"/>
  <c r="H21" i="14"/>
  <c r="G21" i="14" s="1"/>
  <c r="H22" i="15"/>
  <c r="G22" i="15" s="1"/>
  <c r="H27" i="15"/>
  <c r="G27" i="15" s="1"/>
  <c r="H23" i="15"/>
  <c r="G23" i="15" s="1"/>
  <c r="H21" i="15"/>
  <c r="G21" i="15" s="1"/>
  <c r="H19" i="15"/>
  <c r="G19" i="15" s="1"/>
  <c r="H17" i="15"/>
  <c r="G17" i="15" s="1"/>
  <c r="H25" i="15"/>
  <c r="G25" i="15" s="1"/>
  <c r="H14" i="15"/>
  <c r="G14" i="15" s="1"/>
  <c r="H18" i="15"/>
  <c r="G18" i="15" s="1"/>
  <c r="H18" i="14"/>
  <c r="G18" i="14" s="1"/>
  <c r="H19" i="14"/>
  <c r="G19" i="14" s="1"/>
  <c r="H17" i="14"/>
  <c r="G17" i="14" s="1"/>
  <c r="H14" i="14"/>
  <c r="G14" i="14" s="1"/>
  <c r="I15" i="14" s="1"/>
  <c r="H22" i="14"/>
  <c r="G22" i="14" s="1"/>
  <c r="H20" i="14"/>
  <c r="G20" i="14" s="1"/>
  <c r="N15" i="15" l="1"/>
  <c r="N16" i="15" s="1"/>
  <c r="L15" i="15"/>
  <c r="L16" i="15" s="1"/>
  <c r="L28" i="15" s="1"/>
  <c r="J15" i="15"/>
  <c r="J16" i="15" s="1"/>
  <c r="J28" i="15" s="1"/>
  <c r="O15" i="15"/>
  <c r="O16" i="15" s="1"/>
  <c r="O28" i="15" s="1"/>
  <c r="O29" i="15" s="1"/>
  <c r="M15" i="15"/>
  <c r="M16" i="15" s="1"/>
  <c r="M28" i="15" s="1"/>
  <c r="M29" i="15" s="1"/>
  <c r="K15" i="15"/>
  <c r="K16" i="15" s="1"/>
  <c r="K28" i="15" s="1"/>
  <c r="I15" i="15"/>
  <c r="I16" i="15" s="1"/>
  <c r="N15" i="14"/>
  <c r="N16" i="14" s="1"/>
  <c r="L15" i="14"/>
  <c r="L16" i="14" s="1"/>
  <c r="L28" i="14" s="1"/>
  <c r="J15" i="14"/>
  <c r="J16" i="14" s="1"/>
  <c r="J28" i="14" s="1"/>
  <c r="O15" i="14"/>
  <c r="O16" i="14" s="1"/>
  <c r="O28" i="14" s="1"/>
  <c r="O29" i="14" s="1"/>
  <c r="M15" i="14"/>
  <c r="M16" i="14" s="1"/>
  <c r="M28" i="14" s="1"/>
  <c r="M29" i="14" s="1"/>
  <c r="K15" i="14"/>
  <c r="K16" i="14" s="1"/>
  <c r="K28" i="14" s="1"/>
  <c r="I16" i="14"/>
  <c r="K29" i="15" l="1"/>
  <c r="K29" i="14"/>
  <c r="I28" i="15"/>
  <c r="I29" i="15" s="1"/>
  <c r="H16" i="15"/>
  <c r="G16" i="15" s="1"/>
  <c r="I28" i="14"/>
  <c r="I29" i="14" s="1"/>
  <c r="H16" i="14"/>
  <c r="D9" i="8"/>
  <c r="D8" i="8"/>
  <c r="F24" i="7"/>
  <c r="F23" i="7"/>
  <c r="H23" i="7" s="1"/>
  <c r="I32" i="15" l="1"/>
  <c r="I32" i="14"/>
  <c r="H28" i="15"/>
  <c r="G28" i="15"/>
  <c r="H28" i="14"/>
  <c r="G16" i="14"/>
  <c r="G28" i="14" s="1"/>
  <c r="D11" i="8"/>
  <c r="I6" i="9" l="1"/>
  <c r="H6" i="9"/>
  <c r="G6" i="9"/>
  <c r="N20" i="10"/>
  <c r="N21" i="10"/>
  <c r="N22" i="10"/>
  <c r="N23" i="10"/>
  <c r="N24" i="10"/>
  <c r="N25" i="10"/>
  <c r="N26" i="10"/>
  <c r="N27" i="10"/>
  <c r="N28" i="10"/>
  <c r="N29" i="10"/>
  <c r="N19" i="10"/>
  <c r="N32" i="10"/>
  <c r="N16" i="10"/>
  <c r="F111" i="9" l="1"/>
  <c r="F110" i="9"/>
  <c r="M54" i="4"/>
  <c r="A109" i="9" l="1"/>
  <c r="A108" i="9"/>
  <c r="A107" i="9"/>
  <c r="F103" i="9" l="1"/>
  <c r="F109" i="9" l="1"/>
  <c r="F11" i="5"/>
  <c r="F48" i="9" s="1"/>
  <c r="F12" i="5"/>
  <c r="F49" i="9" s="1"/>
  <c r="F13" i="5"/>
  <c r="F52" i="9" s="1"/>
  <c r="F14" i="5"/>
  <c r="F59" i="9" s="1"/>
  <c r="F15" i="5"/>
  <c r="F53" i="9" s="1"/>
  <c r="F16" i="5"/>
  <c r="F50" i="9" s="1"/>
  <c r="F17" i="5"/>
  <c r="F56" i="9" s="1"/>
  <c r="F18" i="5"/>
  <c r="F57" i="9" s="1"/>
  <c r="F19" i="5"/>
  <c r="F62" i="9" s="1"/>
  <c r="F60" i="9"/>
  <c r="F21" i="5"/>
  <c r="F51" i="9" s="1"/>
  <c r="F22" i="5"/>
  <c r="F54" i="9" s="1"/>
  <c r="F23" i="5"/>
  <c r="F25" i="5"/>
  <c r="F58" i="9" s="1"/>
  <c r="F55" i="9"/>
  <c r="F27" i="5"/>
  <c r="F28" i="5"/>
  <c r="F29" i="5"/>
  <c r="F7" i="5"/>
  <c r="F8" i="5"/>
  <c r="F9" i="5"/>
  <c r="F46" i="9" s="1"/>
  <c r="F10" i="5"/>
  <c r="F6" i="5"/>
  <c r="G114" i="9"/>
  <c r="F108" i="9"/>
  <c r="F107" i="9"/>
  <c r="F62" i="5"/>
  <c r="F60" i="5"/>
  <c r="F50" i="5"/>
  <c r="F10" i="10"/>
  <c r="O19" i="4"/>
  <c r="M19" i="4"/>
  <c r="Q18" i="4"/>
  <c r="P18" i="4"/>
  <c r="L18" i="4"/>
  <c r="L19" i="4" s="1"/>
  <c r="N17" i="4"/>
  <c r="H87" i="9"/>
  <c r="G35" i="9"/>
  <c r="D23" i="10"/>
  <c r="E23" i="10" s="1"/>
  <c r="F18" i="9"/>
  <c r="E25" i="9"/>
  <c r="D29" i="9"/>
  <c r="H29" i="9" s="1"/>
  <c r="F29" i="9"/>
  <c r="A53" i="9"/>
  <c r="F82" i="9"/>
  <c r="F6" i="6"/>
  <c r="F81" i="9" s="1"/>
  <c r="F8" i="6"/>
  <c r="F9" i="6"/>
  <c r="F11" i="6"/>
  <c r="F12" i="6"/>
  <c r="F27" i="6"/>
  <c r="F86" i="9" s="1"/>
  <c r="F28" i="6"/>
  <c r="F87" i="9" s="1"/>
  <c r="F36" i="6"/>
  <c r="F91" i="9" s="1"/>
  <c r="F37" i="6"/>
  <c r="F43" i="6"/>
  <c r="F94" i="9" s="1"/>
  <c r="F44" i="6"/>
  <c r="F95" i="9" s="1"/>
  <c r="F45" i="6"/>
  <c r="F40" i="5"/>
  <c r="F66" i="9" s="1"/>
  <c r="F47" i="5"/>
  <c r="F48" i="5"/>
  <c r="F49" i="5"/>
  <c r="F75" i="9"/>
  <c r="F76" i="9"/>
  <c r="F59" i="5"/>
  <c r="F77" i="9" s="1"/>
  <c r="F61" i="5"/>
  <c r="F69" i="5"/>
  <c r="F73" i="5" s="1"/>
  <c r="A6" i="4"/>
  <c r="A7" i="4"/>
  <c r="F8" i="4"/>
  <c r="G8" i="4" s="1"/>
  <c r="B6" i="4"/>
  <c r="C6" i="4"/>
  <c r="A67" i="4"/>
  <c r="N13" i="4"/>
  <c r="N15" i="4" s="1"/>
  <c r="L14" i="4"/>
  <c r="L15" i="4" s="1"/>
  <c r="P14" i="4"/>
  <c r="B7" i="4" s="1"/>
  <c r="Q14" i="4"/>
  <c r="C7" i="4" s="1"/>
  <c r="M15" i="4"/>
  <c r="O15" i="4"/>
  <c r="E21" i="4"/>
  <c r="D22" i="4"/>
  <c r="D23" i="4"/>
  <c r="E23" i="4" s="1"/>
  <c r="B33" i="4"/>
  <c r="D24" i="4"/>
  <c r="E24" i="4" s="1"/>
  <c r="A82" i="4"/>
  <c r="A83" i="4"/>
  <c r="A33" i="4"/>
  <c r="A34" i="4"/>
  <c r="B35" i="4"/>
  <c r="R35" i="4"/>
  <c r="C35" i="4" s="1"/>
  <c r="A35" i="4"/>
  <c r="F37" i="4"/>
  <c r="G37" i="4" s="1"/>
  <c r="A85" i="4"/>
  <c r="F85" i="4" s="1"/>
  <c r="G85" i="4" s="1"/>
  <c r="P42" i="4"/>
  <c r="Q42" i="4" s="1"/>
  <c r="N46" i="4"/>
  <c r="L45" i="4"/>
  <c r="L46" i="4" s="1"/>
  <c r="M46" i="4"/>
  <c r="A86" i="4" s="1"/>
  <c r="O46" i="4"/>
  <c r="P46" i="4"/>
  <c r="D46" i="4"/>
  <c r="D73" i="4"/>
  <c r="F42" i="9" s="1"/>
  <c r="F31" i="9" s="1"/>
  <c r="D20" i="10" s="1"/>
  <c r="E20" i="10" s="1"/>
  <c r="C86" i="4"/>
  <c r="R31" i="4"/>
  <c r="C34" i="4" s="1"/>
  <c r="O9" i="10"/>
  <c r="H9" i="10" s="1"/>
  <c r="R41" i="4"/>
  <c r="E25" i="10"/>
  <c r="O8" i="10"/>
  <c r="J6" i="9"/>
  <c r="J74" i="9" s="1"/>
  <c r="G87" i="9"/>
  <c r="F36" i="4" l="1"/>
  <c r="G36" i="4" s="1"/>
  <c r="P15" i="4"/>
  <c r="F69" i="9"/>
  <c r="D27" i="10" s="1"/>
  <c r="F51" i="5"/>
  <c r="F35" i="4"/>
  <c r="G35" i="4" s="1"/>
  <c r="N19" i="4"/>
  <c r="P17" i="4"/>
  <c r="Q17" i="4"/>
  <c r="F92" i="9"/>
  <c r="D31" i="10"/>
  <c r="E31" i="10" s="1"/>
  <c r="F27" i="10"/>
  <c r="I27" i="10" s="1"/>
  <c r="K27" i="10" s="1"/>
  <c r="D13" i="10"/>
  <c r="E13" i="10" s="1"/>
  <c r="F26" i="10"/>
  <c r="I26" i="10" s="1"/>
  <c r="K26" i="10" s="1"/>
  <c r="M21" i="10"/>
  <c r="F115" i="9"/>
  <c r="H8" i="10"/>
  <c r="A84" i="4"/>
  <c r="R38" i="4"/>
  <c r="Q15" i="4"/>
  <c r="A68" i="4"/>
  <c r="F68" i="4" s="1"/>
  <c r="G68" i="4" s="1"/>
  <c r="Q19" i="4"/>
  <c r="R36" i="4"/>
  <c r="C84" i="4" s="1"/>
  <c r="O27" i="10"/>
  <c r="J21" i="10"/>
  <c r="L21" i="10"/>
  <c r="L26" i="10"/>
  <c r="F45" i="9"/>
  <c r="J40" i="9"/>
  <c r="J114" i="9"/>
  <c r="H114" i="9"/>
  <c r="G88" i="9"/>
  <c r="F29" i="10"/>
  <c r="F28" i="10"/>
  <c r="D28" i="10"/>
  <c r="F96" i="9"/>
  <c r="B34" i="4"/>
  <c r="F34" i="4" s="1"/>
  <c r="G34" i="4" s="1"/>
  <c r="B83" i="4"/>
  <c r="B84" i="4"/>
  <c r="H88" i="9"/>
  <c r="H35" i="9"/>
  <c r="H40" i="9"/>
  <c r="B82" i="4"/>
  <c r="R24" i="4"/>
  <c r="C82" i="4" s="1"/>
  <c r="I29" i="10"/>
  <c r="K29" i="10" s="1"/>
  <c r="O21" i="10"/>
  <c r="F22" i="10"/>
  <c r="F23" i="10"/>
  <c r="M23" i="10" s="1"/>
  <c r="F20" i="10"/>
  <c r="M20" i="10" s="1"/>
  <c r="F7" i="4"/>
  <c r="G7" i="4" s="1"/>
  <c r="F29" i="6"/>
  <c r="P19" i="4"/>
  <c r="F10" i="6"/>
  <c r="F67" i="9"/>
  <c r="I35" i="9"/>
  <c r="I88" i="9"/>
  <c r="I29" i="9"/>
  <c r="I40" i="9"/>
  <c r="I87" i="9"/>
  <c r="I114" i="9"/>
  <c r="F6" i="9"/>
  <c r="F83" i="9"/>
  <c r="R42" i="4"/>
  <c r="E22" i="4"/>
  <c r="E25" i="4" s="1"/>
  <c r="D25" i="4"/>
  <c r="F47" i="9"/>
  <c r="F85" i="9"/>
  <c r="R23" i="4"/>
  <c r="C33" i="4" s="1"/>
  <c r="F33" i="4" s="1"/>
  <c r="F6" i="4"/>
  <c r="G6" i="4" s="1"/>
  <c r="J29" i="9"/>
  <c r="J35" i="9"/>
  <c r="F25" i="10"/>
  <c r="M25" i="10" s="1"/>
  <c r="F24" i="10"/>
  <c r="J87" i="9"/>
  <c r="J88" i="9"/>
  <c r="O19" i="10"/>
  <c r="O26" i="10"/>
  <c r="G29" i="9"/>
  <c r="G40" i="9"/>
  <c r="F84" i="4" l="1"/>
  <c r="D74" i="9"/>
  <c r="C46" i="4"/>
  <c r="C44" i="4"/>
  <c r="C45" i="4"/>
  <c r="C43" i="4"/>
  <c r="J27" i="10"/>
  <c r="F82" i="4"/>
  <c r="G82" i="4" s="1"/>
  <c r="D26" i="10"/>
  <c r="E26" i="10" s="1"/>
  <c r="I74" i="9"/>
  <c r="H74" i="9"/>
  <c r="G74" i="9"/>
  <c r="F67" i="4"/>
  <c r="G67" i="4" s="1"/>
  <c r="F78" i="9"/>
  <c r="G84" i="4"/>
  <c r="F69" i="4"/>
  <c r="G69" i="4" s="1"/>
  <c r="J26" i="10"/>
  <c r="L27" i="10"/>
  <c r="B46" i="4"/>
  <c r="I21" i="10"/>
  <c r="M27" i="10"/>
  <c r="D55" i="9"/>
  <c r="H55" i="9" s="1"/>
  <c r="M24" i="10"/>
  <c r="I24" i="10"/>
  <c r="K24" i="10" s="1"/>
  <c r="M26" i="10"/>
  <c r="I22" i="10"/>
  <c r="K22" i="10" s="1"/>
  <c r="M22" i="10"/>
  <c r="O29" i="10"/>
  <c r="M29" i="10"/>
  <c r="K19" i="10"/>
  <c r="M19" i="10"/>
  <c r="O28" i="10"/>
  <c r="M28" i="10"/>
  <c r="D22" i="10"/>
  <c r="E22" i="10" s="1"/>
  <c r="O22" i="10"/>
  <c r="G9" i="4"/>
  <c r="F17" i="9" s="1"/>
  <c r="D17" i="9" s="1"/>
  <c r="G17" i="9" s="1"/>
  <c r="D48" i="9"/>
  <c r="F38" i="4"/>
  <c r="F21" i="9" s="1"/>
  <c r="D21" i="9" s="1"/>
  <c r="L24" i="10"/>
  <c r="J24" i="10"/>
  <c r="J22" i="10"/>
  <c r="L22" i="10"/>
  <c r="L25" i="10"/>
  <c r="J25" i="10"/>
  <c r="I28" i="10"/>
  <c r="K28" i="10" s="1"/>
  <c r="L28" i="10"/>
  <c r="J28" i="10"/>
  <c r="J19" i="10"/>
  <c r="L19" i="10"/>
  <c r="L23" i="10"/>
  <c r="J23" i="10"/>
  <c r="L20" i="10"/>
  <c r="J20" i="10"/>
  <c r="J29" i="10"/>
  <c r="L29" i="10"/>
  <c r="D53" i="9"/>
  <c r="D47" i="9"/>
  <c r="D103" i="9"/>
  <c r="G103" i="9" s="1"/>
  <c r="D101" i="9"/>
  <c r="R32" i="4"/>
  <c r="C83" i="4" s="1"/>
  <c r="F83" i="4" s="1"/>
  <c r="G83" i="4" s="1"/>
  <c r="E28" i="10"/>
  <c r="D115" i="9"/>
  <c r="D76" i="9"/>
  <c r="I76" i="9" s="1"/>
  <c r="D82" i="9"/>
  <c r="D61" i="9"/>
  <c r="D107" i="9"/>
  <c r="I107" i="9" s="1"/>
  <c r="E27" i="10"/>
  <c r="G33" i="4"/>
  <c r="G38" i="4" s="1"/>
  <c r="F9" i="4"/>
  <c r="F16" i="9" s="1"/>
  <c r="I20" i="10"/>
  <c r="O20" i="10"/>
  <c r="I23" i="10"/>
  <c r="K23" i="10" s="1"/>
  <c r="O23" i="10"/>
  <c r="F63" i="9"/>
  <c r="D60" i="9"/>
  <c r="D18" i="9"/>
  <c r="G18" i="9" s="1"/>
  <c r="D54" i="9"/>
  <c r="D100" i="9"/>
  <c r="D111" i="9"/>
  <c r="D112" i="9"/>
  <c r="D113" i="9"/>
  <c r="D62" i="9"/>
  <c r="I62" i="9" s="1"/>
  <c r="D91" i="9"/>
  <c r="D49" i="9"/>
  <c r="D95" i="9"/>
  <c r="D86" i="9"/>
  <c r="D94" i="9"/>
  <c r="D45" i="9"/>
  <c r="D58" i="9"/>
  <c r="D65" i="9"/>
  <c r="D70" i="9"/>
  <c r="D110" i="9"/>
  <c r="D75" i="9"/>
  <c r="D51" i="9"/>
  <c r="D81" i="9"/>
  <c r="D42" i="9"/>
  <c r="D98" i="9"/>
  <c r="I98" i="9" s="1"/>
  <c r="D50" i="9"/>
  <c r="D46" i="9"/>
  <c r="D71" i="9"/>
  <c r="D66" i="9"/>
  <c r="D108" i="9"/>
  <c r="D102" i="9"/>
  <c r="D57" i="9"/>
  <c r="D73" i="9"/>
  <c r="I73" i="9" s="1"/>
  <c r="D56" i="9"/>
  <c r="D72" i="9"/>
  <c r="D109" i="9"/>
  <c r="D59" i="9"/>
  <c r="J103" i="9"/>
  <c r="J55" i="9"/>
  <c r="O25" i="10"/>
  <c r="I25" i="10"/>
  <c r="K25" i="10" s="1"/>
  <c r="D69" i="9"/>
  <c r="F104" i="9"/>
  <c r="D24" i="10" s="1"/>
  <c r="D99" i="9"/>
  <c r="D52" i="9"/>
  <c r="O24" i="10"/>
  <c r="F89" i="9"/>
  <c r="D29" i="10" s="1"/>
  <c r="E29" i="10" s="1"/>
  <c r="D85" i="9"/>
  <c r="J53" i="9"/>
  <c r="D77" i="9"/>
  <c r="H27" i="10" l="1"/>
  <c r="G27" i="10" s="1"/>
  <c r="H26" i="10"/>
  <c r="G26" i="10" s="1"/>
  <c r="G88" i="4"/>
  <c r="G89" i="4" s="1"/>
  <c r="G90" i="4" s="1"/>
  <c r="F88" i="4"/>
  <c r="F89" i="4" s="1"/>
  <c r="D67" i="9"/>
  <c r="D78" i="9"/>
  <c r="I55" i="9"/>
  <c r="G55" i="9"/>
  <c r="G70" i="4"/>
  <c r="F41" i="9" s="1"/>
  <c r="K21" i="10"/>
  <c r="H21" i="10" s="1"/>
  <c r="G21" i="10" s="1"/>
  <c r="K20" i="10"/>
  <c r="H20" i="10" s="1"/>
  <c r="G20" i="10" s="1"/>
  <c r="H59" i="9"/>
  <c r="I59" i="9"/>
  <c r="H73" i="9"/>
  <c r="H66" i="9"/>
  <c r="I66" i="9"/>
  <c r="H75" i="9"/>
  <c r="I75" i="9"/>
  <c r="H58" i="9"/>
  <c r="I58" i="9"/>
  <c r="H95" i="9"/>
  <c r="I95" i="9"/>
  <c r="H111" i="9"/>
  <c r="I111" i="9"/>
  <c r="H60" i="9"/>
  <c r="I60" i="9"/>
  <c r="H77" i="9"/>
  <c r="I77" i="9"/>
  <c r="H85" i="9"/>
  <c r="I85" i="9"/>
  <c r="H52" i="9"/>
  <c r="I52" i="9"/>
  <c r="H109" i="9"/>
  <c r="I109" i="9"/>
  <c r="H56" i="9"/>
  <c r="I56" i="9"/>
  <c r="H57" i="9"/>
  <c r="I57" i="9"/>
  <c r="H108" i="9"/>
  <c r="I108" i="9"/>
  <c r="H71" i="9"/>
  <c r="I71" i="9"/>
  <c r="H50" i="9"/>
  <c r="I50" i="9"/>
  <c r="H42" i="9"/>
  <c r="I42" i="9"/>
  <c r="H51" i="9"/>
  <c r="I51" i="9"/>
  <c r="H110" i="9"/>
  <c r="I110" i="9"/>
  <c r="H65" i="9"/>
  <c r="H67" i="9" s="1"/>
  <c r="I65" i="9"/>
  <c r="I67" i="9" s="1"/>
  <c r="H45" i="9"/>
  <c r="I45" i="9"/>
  <c r="H86" i="9"/>
  <c r="I86" i="9"/>
  <c r="H49" i="9"/>
  <c r="I49" i="9"/>
  <c r="H112" i="9"/>
  <c r="I112" i="9"/>
  <c r="H100" i="9"/>
  <c r="I100" i="9"/>
  <c r="H18" i="9"/>
  <c r="I18" i="9"/>
  <c r="G61" i="9"/>
  <c r="I61" i="9"/>
  <c r="H103" i="9"/>
  <c r="I103" i="9"/>
  <c r="H53" i="9"/>
  <c r="I53" i="9"/>
  <c r="H99" i="9"/>
  <c r="I99" i="9"/>
  <c r="H69" i="9"/>
  <c r="I69" i="9"/>
  <c r="H72" i="9"/>
  <c r="I72" i="9"/>
  <c r="H102" i="9"/>
  <c r="I102" i="9"/>
  <c r="H46" i="9"/>
  <c r="I46" i="9"/>
  <c r="H81" i="9"/>
  <c r="I81" i="9"/>
  <c r="H70" i="9"/>
  <c r="I70" i="9"/>
  <c r="H94" i="9"/>
  <c r="H96" i="9" s="1"/>
  <c r="I94" i="9"/>
  <c r="I96" i="9" s="1"/>
  <c r="H91" i="9"/>
  <c r="H92" i="9" s="1"/>
  <c r="I91" i="9"/>
  <c r="I92" i="9" s="1"/>
  <c r="H113" i="9"/>
  <c r="I113" i="9"/>
  <c r="H54" i="9"/>
  <c r="I54" i="9"/>
  <c r="H17" i="9"/>
  <c r="I17" i="9"/>
  <c r="H82" i="9"/>
  <c r="I82" i="9"/>
  <c r="H101" i="9"/>
  <c r="I101" i="9"/>
  <c r="H47" i="9"/>
  <c r="I47" i="9"/>
  <c r="H48" i="9"/>
  <c r="I48" i="9"/>
  <c r="J48" i="9"/>
  <c r="J101" i="9"/>
  <c r="J82" i="9"/>
  <c r="J47" i="9"/>
  <c r="G101" i="9"/>
  <c r="H29" i="10"/>
  <c r="G29" i="10" s="1"/>
  <c r="H22" i="10"/>
  <c r="G22" i="10" s="1"/>
  <c r="H25" i="10"/>
  <c r="G25" i="10" s="1"/>
  <c r="G53" i="9"/>
  <c r="G48" i="9"/>
  <c r="H28" i="10"/>
  <c r="G28" i="10" s="1"/>
  <c r="H98" i="9"/>
  <c r="D104" i="9"/>
  <c r="G82" i="9"/>
  <c r="G47" i="9"/>
  <c r="H62" i="9"/>
  <c r="D63" i="9"/>
  <c r="H24" i="10"/>
  <c r="G24" i="10" s="1"/>
  <c r="H19" i="10"/>
  <c r="G19" i="10" s="1"/>
  <c r="H23" i="10"/>
  <c r="G23" i="10" s="1"/>
  <c r="F19" i="9"/>
  <c r="F10" i="9"/>
  <c r="D10" i="9" s="1"/>
  <c r="J61" i="9"/>
  <c r="H61" i="9"/>
  <c r="G107" i="9"/>
  <c r="H107" i="9"/>
  <c r="G76" i="9"/>
  <c r="H76" i="9"/>
  <c r="J66" i="9"/>
  <c r="G66" i="9"/>
  <c r="J24" i="9"/>
  <c r="F22" i="9"/>
  <c r="J107" i="9"/>
  <c r="J76" i="9"/>
  <c r="D16" i="9"/>
  <c r="I16" i="9" s="1"/>
  <c r="J59" i="9"/>
  <c r="G59" i="9"/>
  <c r="G98" i="9"/>
  <c r="J98" i="9"/>
  <c r="J58" i="9"/>
  <c r="G58" i="9"/>
  <c r="G60" i="9"/>
  <c r="J60" i="9"/>
  <c r="J52" i="9"/>
  <c r="G52" i="9"/>
  <c r="G56" i="9"/>
  <c r="J56" i="9"/>
  <c r="J108" i="9"/>
  <c r="G108" i="9"/>
  <c r="J50" i="9"/>
  <c r="G50" i="9"/>
  <c r="G51" i="9"/>
  <c r="J51" i="9"/>
  <c r="J65" i="9"/>
  <c r="G65" i="9"/>
  <c r="D96" i="9"/>
  <c r="J94" i="9"/>
  <c r="G94" i="9"/>
  <c r="G49" i="9"/>
  <c r="J49" i="9"/>
  <c r="J112" i="9"/>
  <c r="G112" i="9"/>
  <c r="J18" i="9"/>
  <c r="J23" i="9"/>
  <c r="J12" i="9" s="1"/>
  <c r="J99" i="9"/>
  <c r="G99" i="9"/>
  <c r="J73" i="9"/>
  <c r="G73" i="9"/>
  <c r="G75" i="9"/>
  <c r="J75" i="9"/>
  <c r="J86" i="9"/>
  <c r="G86" i="9"/>
  <c r="J111" i="9"/>
  <c r="G111" i="9"/>
  <c r="G77" i="9"/>
  <c r="J77" i="9"/>
  <c r="E24" i="10"/>
  <c r="J109" i="9"/>
  <c r="G109" i="9"/>
  <c r="G57" i="9"/>
  <c r="J57" i="9"/>
  <c r="J71" i="9"/>
  <c r="G71" i="9"/>
  <c r="J42" i="9"/>
  <c r="D31" i="9"/>
  <c r="G42" i="9"/>
  <c r="G110" i="9"/>
  <c r="J110" i="9"/>
  <c r="J45" i="9"/>
  <c r="G45" i="9"/>
  <c r="G95" i="9"/>
  <c r="J95" i="9"/>
  <c r="J62" i="9"/>
  <c r="G62" i="9"/>
  <c r="J100" i="9"/>
  <c r="G100" i="9"/>
  <c r="J17" i="9"/>
  <c r="J85" i="9"/>
  <c r="D89" i="9"/>
  <c r="G85" i="9"/>
  <c r="J91" i="9"/>
  <c r="J92" i="9" s="1"/>
  <c r="G91" i="9"/>
  <c r="G92" i="9" s="1"/>
  <c r="D92" i="9"/>
  <c r="F70" i="4"/>
  <c r="F39" i="9" s="1"/>
  <c r="J69" i="9"/>
  <c r="G69" i="9"/>
  <c r="J72" i="9"/>
  <c r="G72" i="9"/>
  <c r="G102" i="9"/>
  <c r="J102" i="9"/>
  <c r="J46" i="9"/>
  <c r="G46" i="9"/>
  <c r="D83" i="9"/>
  <c r="J81" i="9"/>
  <c r="G81" i="9"/>
  <c r="G70" i="9"/>
  <c r="J70" i="9"/>
  <c r="J113" i="9"/>
  <c r="G113" i="9"/>
  <c r="G54" i="9"/>
  <c r="J54" i="9"/>
  <c r="H83" i="9" l="1"/>
  <c r="H89" i="9"/>
  <c r="F36" i="9"/>
  <c r="D8" i="10" s="1"/>
  <c r="E8" i="10" s="1"/>
  <c r="H78" i="9"/>
  <c r="G78" i="9"/>
  <c r="J78" i="9"/>
  <c r="I78" i="9"/>
  <c r="H104" i="9"/>
  <c r="F34" i="9"/>
  <c r="D34" i="9" s="1"/>
  <c r="H34" i="9" s="1"/>
  <c r="D22" i="9"/>
  <c r="H115" i="9"/>
  <c r="I104" i="9"/>
  <c r="I115" i="9"/>
  <c r="H31" i="9"/>
  <c r="I31" i="9"/>
  <c r="I19" i="9"/>
  <c r="I83" i="9"/>
  <c r="I63" i="9"/>
  <c r="I89" i="9"/>
  <c r="J83" i="9"/>
  <c r="H63" i="9"/>
  <c r="J34" i="9"/>
  <c r="J115" i="9"/>
  <c r="G115" i="9"/>
  <c r="O32" i="10"/>
  <c r="O33" i="10" s="1"/>
  <c r="G83" i="9"/>
  <c r="J13" i="9"/>
  <c r="J67" i="9"/>
  <c r="J16" i="9"/>
  <c r="H16" i="9"/>
  <c r="G89" i="9"/>
  <c r="G67" i="9"/>
  <c r="J36" i="9"/>
  <c r="G16" i="9"/>
  <c r="J89" i="9"/>
  <c r="D19" i="9"/>
  <c r="G63" i="9"/>
  <c r="J96" i="9"/>
  <c r="J104" i="9"/>
  <c r="D41" i="9"/>
  <c r="D21" i="10"/>
  <c r="E21" i="10" s="1"/>
  <c r="D39" i="9"/>
  <c r="I39" i="9" s="1"/>
  <c r="F43" i="9"/>
  <c r="D19" i="10"/>
  <c r="E19" i="10" s="1"/>
  <c r="G104" i="9"/>
  <c r="J31" i="9"/>
  <c r="G31" i="9"/>
  <c r="G96" i="9"/>
  <c r="J63" i="9"/>
  <c r="F30" i="9" l="1"/>
  <c r="G34" i="9"/>
  <c r="F37" i="9"/>
  <c r="F28" i="9"/>
  <c r="I34" i="9"/>
  <c r="D7" i="10"/>
  <c r="E7" i="10" s="1"/>
  <c r="F11" i="9"/>
  <c r="D11" i="9" s="1"/>
  <c r="D36" i="9"/>
  <c r="D37" i="9" s="1"/>
  <c r="H41" i="9"/>
  <c r="I41" i="9"/>
  <c r="I43" i="9" s="1"/>
  <c r="J126" i="9"/>
  <c r="J19" i="9"/>
  <c r="G19" i="9"/>
  <c r="D28" i="9"/>
  <c r="H39" i="9"/>
  <c r="H19" i="9"/>
  <c r="G41" i="9"/>
  <c r="J41" i="9"/>
  <c r="J39" i="9"/>
  <c r="G39" i="9"/>
  <c r="D43" i="9"/>
  <c r="J37" i="9"/>
  <c r="F32" i="9" l="1"/>
  <c r="F105" i="9" s="1"/>
  <c r="H43" i="9"/>
  <c r="D30" i="9"/>
  <c r="I30" i="9" s="1"/>
  <c r="H36" i="9"/>
  <c r="H37" i="9" s="1"/>
  <c r="I36" i="9"/>
  <c r="I37" i="9" s="1"/>
  <c r="G36" i="9"/>
  <c r="G37" i="9" s="1"/>
  <c r="H28" i="9"/>
  <c r="I28" i="9"/>
  <c r="J28" i="9"/>
  <c r="J21" i="9"/>
  <c r="G28" i="9"/>
  <c r="G43" i="9"/>
  <c r="J43" i="9"/>
  <c r="J30" i="9"/>
  <c r="G30" i="9" l="1"/>
  <c r="G32" i="9" s="1"/>
  <c r="G105" i="9" s="1"/>
  <c r="H30" i="9"/>
  <c r="H32" i="9" s="1"/>
  <c r="H105" i="9" s="1"/>
  <c r="D32" i="9"/>
  <c r="D105" i="9" s="1"/>
  <c r="I32" i="9"/>
  <c r="I105" i="9" s="1"/>
  <c r="J32" i="9"/>
  <c r="J105" i="9" s="1"/>
  <c r="J22" i="9"/>
  <c r="J11" i="9" s="1"/>
  <c r="J10" i="9"/>
  <c r="J14" i="9" l="1"/>
  <c r="J116" i="9" s="1"/>
  <c r="J122" i="9" s="1"/>
  <c r="J25" i="9"/>
  <c r="J127" i="9" l="1"/>
  <c r="O16" i="10"/>
  <c r="D43" i="4"/>
  <c r="D44" i="4"/>
  <c r="B44" i="4" s="1"/>
  <c r="D9" i="10"/>
  <c r="N10" i="10"/>
  <c r="D45" i="4"/>
  <c r="D42" i="4"/>
  <c r="C42" i="4" s="1"/>
  <c r="E9" i="10" l="1"/>
  <c r="B43" i="4"/>
  <c r="D11" i="10"/>
  <c r="E11" i="10" s="1"/>
  <c r="B45" i="4"/>
  <c r="F24" i="9"/>
  <c r="F13" i="9" s="1"/>
  <c r="D13" i="9" s="1"/>
  <c r="D10" i="10"/>
  <c r="D16" i="10" s="1"/>
  <c r="M10" i="10"/>
  <c r="M16" i="10" s="1"/>
  <c r="K10" i="10"/>
  <c r="K16" i="10" s="1"/>
  <c r="I10" i="10"/>
  <c r="I16" i="10" s="1"/>
  <c r="F23" i="9"/>
  <c r="F25" i="9" s="1"/>
  <c r="D12" i="10"/>
  <c r="E12" i="10" s="1"/>
  <c r="L10" i="10"/>
  <c r="L16" i="10" s="1"/>
  <c r="J10" i="10"/>
  <c r="J16" i="10" s="1"/>
  <c r="O10" i="10"/>
  <c r="E10" i="10" l="1"/>
  <c r="E16" i="10" s="1"/>
  <c r="E6" i="10" s="1"/>
  <c r="D6" i="10"/>
  <c r="H16" i="10"/>
  <c r="G16" i="10" s="1"/>
  <c r="I17" i="10" s="1"/>
  <c r="I18" i="10" s="1"/>
  <c r="I32" i="10" s="1"/>
  <c r="F12" i="9"/>
  <c r="D23" i="9"/>
  <c r="D24" i="9"/>
  <c r="D12" i="9" l="1"/>
  <c r="D14" i="9" s="1"/>
  <c r="D116" i="9" s="1"/>
  <c r="F14" i="9"/>
  <c r="F116" i="9" s="1"/>
  <c r="H23" i="9"/>
  <c r="H12" i="9" s="1"/>
  <c r="D25" i="9"/>
  <c r="M17" i="10"/>
  <c r="M18" i="10" s="1"/>
  <c r="M32" i="10" s="1"/>
  <c r="M33" i="10" s="1"/>
  <c r="C12" i="13" s="1"/>
  <c r="J17" i="10"/>
  <c r="J18" i="10" s="1"/>
  <c r="J32" i="10" s="1"/>
  <c r="I33" i="10" s="1"/>
  <c r="O17" i="10"/>
  <c r="O18" i="10" s="1"/>
  <c r="L17" i="10"/>
  <c r="L18" i="10" s="1"/>
  <c r="L32" i="10" s="1"/>
  <c r="N17" i="10"/>
  <c r="N18" i="10" s="1"/>
  <c r="K17" i="10"/>
  <c r="K18" i="10" s="1"/>
  <c r="G23" i="9"/>
  <c r="G12" i="9" s="1"/>
  <c r="I23" i="9"/>
  <c r="I12" i="9" s="1"/>
  <c r="I24" i="9"/>
  <c r="I13" i="9" s="1"/>
  <c r="H24" i="9"/>
  <c r="H13" i="9" s="1"/>
  <c r="G24" i="9"/>
  <c r="G13" i="9" s="1"/>
  <c r="H21" i="9" l="1"/>
  <c r="L34" i="9" s="1"/>
  <c r="H18" i="10"/>
  <c r="G18" i="10" s="1"/>
  <c r="G32" i="10" s="1"/>
  <c r="K32" i="10"/>
  <c r="K33" i="10" s="1"/>
  <c r="G126" i="9"/>
  <c r="C10" i="13"/>
  <c r="C11" i="13" s="1"/>
  <c r="I126" i="9"/>
  <c r="K13" i="9"/>
  <c r="L13" i="9" s="1"/>
  <c r="G21" i="9"/>
  <c r="G10" i="9" s="1"/>
  <c r="I21" i="9"/>
  <c r="K12" i="9"/>
  <c r="L12" i="9" s="1"/>
  <c r="H10" i="9" l="1"/>
  <c r="H22" i="9"/>
  <c r="H25" i="9" s="1"/>
  <c r="H32" i="10"/>
  <c r="H126" i="9"/>
  <c r="I36" i="10"/>
  <c r="K34" i="9"/>
  <c r="I10" i="9"/>
  <c r="M34" i="9"/>
  <c r="I22" i="9"/>
  <c r="I25" i="9" s="1"/>
  <c r="G22" i="9"/>
  <c r="G25" i="9" s="1"/>
  <c r="L35" i="9" l="1"/>
  <c r="L36" i="9"/>
  <c r="L33" i="9" s="1"/>
  <c r="O33" i="9" s="1"/>
  <c r="H11" i="9"/>
  <c r="H14" i="9" s="1"/>
  <c r="M35" i="9"/>
  <c r="I11" i="9"/>
  <c r="I14" i="9" s="1"/>
  <c r="I116" i="9" s="1"/>
  <c r="M36" i="9"/>
  <c r="M33" i="9" s="1"/>
  <c r="P33" i="9" s="1"/>
  <c r="K25" i="9"/>
  <c r="L25" i="9" s="1"/>
  <c r="K36" i="9"/>
  <c r="K33" i="9" s="1"/>
  <c r="N33" i="9" s="1"/>
  <c r="G11" i="9"/>
  <c r="K35" i="9"/>
  <c r="K10" i="9"/>
  <c r="L10" i="9" s="1"/>
  <c r="H116" i="9" l="1"/>
  <c r="H122" i="9" s="1"/>
  <c r="K11" i="9"/>
  <c r="L11" i="9" s="1"/>
  <c r="H127" i="9"/>
  <c r="G14" i="9"/>
  <c r="I122" i="9"/>
  <c r="I127" i="9"/>
  <c r="K14" i="9" l="1"/>
  <c r="L14" i="9" s="1"/>
  <c r="G116" i="9"/>
  <c r="K116" i="9"/>
  <c r="L116" i="9" s="1"/>
  <c r="G127" i="9" l="1"/>
  <c r="G122" i="9"/>
  <c r="G123" i="9" s="1"/>
  <c r="G124" i="9" s="1"/>
  <c r="E12" i="13" l="1"/>
  <c r="G13" i="13"/>
  <c r="F13" i="13"/>
  <c r="D12" i="13"/>
  <c r="E13" i="13"/>
  <c r="G12" i="13"/>
  <c r="F12" i="13"/>
  <c r="D13" i="13"/>
  <c r="F10" i="13"/>
  <c r="G10" i="13"/>
  <c r="E10" i="13"/>
  <c r="D10" i="13"/>
  <c r="F11" i="13" l="1"/>
  <c r="G11" i="13"/>
  <c r="E11" i="13"/>
  <c r="H13" i="13"/>
  <c r="H12" i="13"/>
  <c r="H10" i="13"/>
  <c r="D11" i="13"/>
  <c r="H11" i="13" l="1"/>
</calcChain>
</file>

<file path=xl/sharedStrings.xml><?xml version="1.0" encoding="utf-8"?>
<sst xmlns="http://schemas.openxmlformats.org/spreadsheetml/2006/main" count="639" uniqueCount="261">
  <si>
    <t>итого</t>
  </si>
  <si>
    <t>начисления на оплату труда</t>
  </si>
  <si>
    <t>норматив</t>
  </si>
  <si>
    <t>k увеличения</t>
  </si>
  <si>
    <t>количество месяцев</t>
  </si>
  <si>
    <t>k стимулирования</t>
  </si>
  <si>
    <t>Оклад с учетом k специфики</t>
  </si>
  <si>
    <t>кол-во ставок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</si>
  <si>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Пензенской области)</t>
  </si>
  <si>
    <t xml:space="preserve"> </t>
  </si>
  <si>
    <t>расходы на на получение компенсационных выплат по уходу за ребенком</t>
  </si>
  <si>
    <t>количество работников, имеющих право на получение компенсационных выплат по уходу за ребенком</t>
  </si>
  <si>
    <t>норматив на а компенсационные выплаты по уходу за ребенком</t>
  </si>
  <si>
    <t>Нормативные затраты на оплату труда и начисления на выплаты по оплате труда персонала, не принимающего непосредственное участие в оказании муниципальной услуги (за счет бюджета города Пензы)</t>
  </si>
  <si>
    <t>Расчет норматива затрат ,непосредственно  не связанных с оказанием муниципальной услуги</t>
  </si>
  <si>
    <t>приложение 2</t>
  </si>
  <si>
    <t>прочие</t>
  </si>
  <si>
    <t>учителя</t>
  </si>
  <si>
    <t>всего</t>
  </si>
  <si>
    <t xml:space="preserve">Расходы  </t>
  </si>
  <si>
    <t xml:space="preserve">кол-во </t>
  </si>
  <si>
    <t xml:space="preserve">Норматив  </t>
  </si>
  <si>
    <t>КОСГУ</t>
  </si>
  <si>
    <t>Норматив   на   приобретение   материальных   запасов, потребляемых в процессе оказания муниципальной услуги ( за счет бюджета Пензенской области) .</t>
  </si>
  <si>
    <t>кол-во месяцев</t>
  </si>
  <si>
    <t>кол-во ставок учителей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</si>
  <si>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Пензенской области) .</t>
  </si>
  <si>
    <t>доведение на оклады</t>
  </si>
  <si>
    <t>стимуляция</t>
  </si>
  <si>
    <t>без стимуляции</t>
  </si>
  <si>
    <t>ставки</t>
  </si>
  <si>
    <t>ФЗП в мес</t>
  </si>
  <si>
    <t>субвенция</t>
  </si>
  <si>
    <t>Средняя ставка на класс</t>
  </si>
  <si>
    <t>кол-во классных руководителей</t>
  </si>
  <si>
    <t xml:space="preserve"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федерального бюджета) . </t>
  </si>
  <si>
    <t xml:space="preserve">количество </t>
  </si>
  <si>
    <t xml:space="preserve">Норматив   </t>
  </si>
  <si>
    <t>Норматив   на   приобретение   материальных   запасов, потребляемых в процессе оказания муниципальной услуги ( за счет бюджета города Пензы) .</t>
  </si>
  <si>
    <t>местный</t>
  </si>
  <si>
    <t>таблица для расчета заработной платы</t>
  </si>
  <si>
    <t>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 ( за счет бюджета города Пензы) .</t>
  </si>
  <si>
    <t>Расчет норматива затрат, непосредственно связанных с оказанием муниципальной услуги</t>
  </si>
  <si>
    <t>приложение 1</t>
  </si>
  <si>
    <t>Знаки ГТО</t>
  </si>
  <si>
    <t>запасные части</t>
  </si>
  <si>
    <t xml:space="preserve">приобритение материальных запасов </t>
  </si>
  <si>
    <t>аттестация рабочих мест</t>
  </si>
  <si>
    <t>ЭЦП</t>
  </si>
  <si>
    <t>обслуживание тревожной кнопки</t>
  </si>
  <si>
    <t xml:space="preserve">нормативные затраты </t>
  </si>
  <si>
    <t>количество ед. услуг</t>
  </si>
  <si>
    <t>стоимость</t>
  </si>
  <si>
    <t>Прочие нормативные затраты на общехозяйственные нужды</t>
  </si>
  <si>
    <t xml:space="preserve">приобретение транспортных услуг </t>
  </si>
  <si>
    <t xml:space="preserve">Нормативные затраты на приобретение услуг связи и приобретение транспортных услуг </t>
  </si>
  <si>
    <t>Тех.обслуживание средств радиомодема прямой связи</t>
  </si>
  <si>
    <t>Утилизация ртутосодержащих отходов</t>
  </si>
  <si>
    <t>заправка картриджей</t>
  </si>
  <si>
    <t>Тревожная кнопка</t>
  </si>
  <si>
    <t>поверка ремонт теплосчетчиков</t>
  </si>
  <si>
    <t>дератизация</t>
  </si>
  <si>
    <t>вывоз мусора</t>
  </si>
  <si>
    <t xml:space="preserve">Нормативные затраты на содержание недвижимого имущества </t>
  </si>
  <si>
    <t>приложение 3</t>
  </si>
  <si>
    <t xml:space="preserve"> Прочие нормативные затраты на содержание  движимого имущества</t>
  </si>
  <si>
    <t>Автострахование</t>
  </si>
  <si>
    <t>нормативные затраты на коммунальные услуги</t>
  </si>
  <si>
    <t>объем потребления</t>
  </si>
  <si>
    <t>тариф</t>
  </si>
  <si>
    <t xml:space="preserve"> Нормативные затраты на обязательное страхование гражданской ответственности владельцев транспортных средств</t>
  </si>
  <si>
    <t>Лакокрасочные материалы</t>
  </si>
  <si>
    <t>Зап.части</t>
  </si>
  <si>
    <t>ГСМ</t>
  </si>
  <si>
    <t>Нормативные затраты на материальные запасы</t>
  </si>
  <si>
    <t>итого затрат</t>
  </si>
  <si>
    <t>тех.обслуживание пожарной сигнализации</t>
  </si>
  <si>
    <t>Текущий ремонт</t>
  </si>
  <si>
    <t>Тех.обслуживание</t>
  </si>
  <si>
    <t xml:space="preserve">Нормативные затраты на содержание движимого имущества </t>
  </si>
  <si>
    <t>приложение 4</t>
  </si>
  <si>
    <t>м3</t>
  </si>
  <si>
    <t>вывоз жидких бытовых отходов и объемов жидких бытовых отходов</t>
  </si>
  <si>
    <t>кВат</t>
  </si>
  <si>
    <t>электрическая энергия</t>
  </si>
  <si>
    <t>гКал</t>
  </si>
  <si>
    <t>тепловая  энергия</t>
  </si>
  <si>
    <t>горячее водоснабжение</t>
  </si>
  <si>
    <t>водоотведение</t>
  </si>
  <si>
    <t>холодное водоснабжение</t>
  </si>
  <si>
    <t>нормативные затраты на коммунальные услуги с учетом увеличения</t>
  </si>
  <si>
    <t>тариф (руб.)</t>
  </si>
  <si>
    <t>ед.измерения</t>
  </si>
  <si>
    <t>Нормативные затраты на коммунальные услуги</t>
  </si>
  <si>
    <t>гос.пошлина</t>
  </si>
  <si>
    <t>экологический сбор</t>
  </si>
  <si>
    <t>Налог на имущество</t>
  </si>
  <si>
    <t>Нормативные затраты на уплату налогов</t>
  </si>
  <si>
    <t>приложение 6</t>
  </si>
  <si>
    <t>Всего по учреждению</t>
  </si>
  <si>
    <t xml:space="preserve">Всего </t>
  </si>
  <si>
    <t>руб.</t>
  </si>
  <si>
    <t>Всего затраты на общехозяйственные нужды</t>
  </si>
  <si>
    <t>2.9. Приобретение коммунальных услуг (приложение 5)</t>
  </si>
  <si>
    <t>2.8 Прочие нормативные затраты на содержание  движимого имущества (приложение 4)</t>
  </si>
  <si>
    <t>2.7 Нормативные затраты на обязательное страхование гражданской ответственности владельцев транспортных средств (приложение 4)</t>
  </si>
  <si>
    <t>2.6 Нормативные затраты на материальные запасы (приложение4)</t>
  </si>
  <si>
    <t>2.5 Нормативные затраты на техническое обслуживание и текущий ремонт объектов движимого имущества (приложение 4)</t>
  </si>
  <si>
    <t xml:space="preserve">3. Затраты на содержание движимого имущества </t>
  </si>
  <si>
    <t>Утилизация</t>
  </si>
  <si>
    <t>2.4.Прочие нормативные затраты на общехозяйственные нужды (приложение3)</t>
  </si>
  <si>
    <t>транспортные услуги</t>
  </si>
  <si>
    <t>2.3. Затраты на приобретение услуг связи (приложение3)</t>
  </si>
  <si>
    <t>обслуживание теплосчетчиков</t>
  </si>
  <si>
    <t>Услуги тревожная кнопка</t>
  </si>
  <si>
    <t>Услуги по дератизации</t>
  </si>
  <si>
    <t>Услуги по тех.обслуживание ТС</t>
  </si>
  <si>
    <t>Услуги по вывозу мусора</t>
  </si>
  <si>
    <t>2.2 Затраты на содержание недвижимого имущества (приложение3)</t>
  </si>
  <si>
    <t>затраты на компенсационные выплаты по уходу за ребенком</t>
  </si>
  <si>
    <t>затраты на  начисления на выплаты по оплате труда  персонала, не принимающего непосредственное участие в оказании муниципальной услуги</t>
  </si>
  <si>
    <t>затраты на оплату труда  персонала, не принимающего непосредственное участие в оказании муниципальной услуги</t>
  </si>
  <si>
    <t>2.1.2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города Пензы)</t>
  </si>
  <si>
    <t>2.1.1 В том числе затраты на оплату труда и начисления на выплаты по оплате труда  персонала, не принимающего непосредственное участие в оказании муниципальной услуги (за счет бюджета Пензенской области)</t>
  </si>
  <si>
    <t>2.1 Затраты на оплату труда и начисления на выплаты по оплате труда  персонала, не принимающего непосредственное участие в оказании муниципальной услуги (приложение2)</t>
  </si>
  <si>
    <t>Нормативные   затраты   на   приобретение   материальных   запасов, потребляемых в процессе оказания муниципальной услуги</t>
  </si>
  <si>
    <t>затраты на  начисления на выплаты по оплате труда и персонала, принимающего непосредственное участие в оказании муниципальной услуги</t>
  </si>
  <si>
    <t>затраты на оплату труда  персонала, принимающего непосредственное участие в оказании муниципальной услуги</t>
  </si>
  <si>
    <t xml:space="preserve">1.3 В том числе затраты, непосредственно связанные с оказанием муниципальной услуги ( за счет бюджета Пензенской области) . </t>
  </si>
  <si>
    <t xml:space="preserve">1.1 В том числе затраты, непосредственно связанные с оказанием муниципальной услуги ( за счет бюджета города Пензы) . </t>
  </si>
  <si>
    <t>1. Затраты, непосредственно связанные с оказанием муниципальной услуги. (приложение1)</t>
  </si>
  <si>
    <t>Общий объем приобретаемых муниципальных услуг (выполняемых работ) (руб)</t>
  </si>
  <si>
    <t>Норматив финансовых затрат на единицу приобретаемой муниципальной услуги (выполняемой работы) (руб.)</t>
  </si>
  <si>
    <t>Единица измерения</t>
  </si>
  <si>
    <t xml:space="preserve">Наименование приобретаемых муниципальных услуг </t>
  </si>
  <si>
    <t>Объем муниципальных услуг в натуральных показателях</t>
  </si>
  <si>
    <t>Объем приобретаемых муниципальных услуг (выполняемых работ) в стоимостных показателях</t>
  </si>
  <si>
    <t>Определение нормативных затрат на оказание муниципальной услуги</t>
  </si>
  <si>
    <t>001</t>
  </si>
  <si>
    <t>отклонение</t>
  </si>
  <si>
    <t>смета</t>
  </si>
  <si>
    <t>ВР</t>
  </si>
  <si>
    <t>Проверка</t>
  </si>
  <si>
    <t>СРЕДНЕЕ</t>
  </si>
  <si>
    <t>НАЧАЛЬНОЕ</t>
  </si>
  <si>
    <t>СТАРШЕЕ</t>
  </si>
  <si>
    <t>КОРРЕКЦИЯ</t>
  </si>
  <si>
    <t>НОРМАТИВ</t>
  </si>
  <si>
    <t>НАЧАЛ</t>
  </si>
  <si>
    <t>Директор МБОУ "СОШ №      г.Пензы"____________</t>
  </si>
  <si>
    <t>Гл.бухгалтер _____________</t>
  </si>
  <si>
    <t>ОСН</t>
  </si>
  <si>
    <t>ДОВЕД</t>
  </si>
  <si>
    <t>ОДАР</t>
  </si>
  <si>
    <t>КОЛ-ВО ОДАР</t>
  </si>
  <si>
    <t>пов. квалиф.</t>
  </si>
  <si>
    <t>коректировка</t>
  </si>
  <si>
    <t>Нормативные   затраты   на   приобретение   материальных   запасов и услуг, потребляемых в процессе оказания муниципальной услуги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</si>
  <si>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</si>
  <si>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</si>
  <si>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</si>
  <si>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адаптированных основных общеобразовательных программ начального общего образования</t>
  </si>
  <si>
    <t>ТО видеонаблюдения</t>
  </si>
  <si>
    <t xml:space="preserve"> Наименование муниципальной услуги</t>
  </si>
  <si>
    <t>Наименование муниципального учреждения:</t>
  </si>
  <si>
    <t>флюорография</t>
  </si>
  <si>
    <t>возмещение коммунальных услуг</t>
  </si>
  <si>
    <t>Транспортный налог</t>
  </si>
  <si>
    <t>Налогооблагаемая база</t>
  </si>
  <si>
    <t>Ставка налога</t>
  </si>
  <si>
    <t>Наименование налога</t>
  </si>
  <si>
    <t>Земельный налог</t>
  </si>
  <si>
    <t>приложение 5</t>
  </si>
  <si>
    <t>Вывоз мусора</t>
  </si>
  <si>
    <t>Тех.обслуживание ТС</t>
  </si>
  <si>
    <t>Дератизация</t>
  </si>
  <si>
    <t xml:space="preserve">Тех.обслуживание средств АПС </t>
  </si>
  <si>
    <t>Замер сопротивления</t>
  </si>
  <si>
    <t>Промывка, опрессовка</t>
  </si>
  <si>
    <t>Поверка весов</t>
  </si>
  <si>
    <t>Поверка диэлектр. клещей и перчаток</t>
  </si>
  <si>
    <t>Техн. обслуживание теплосчетчиков</t>
  </si>
  <si>
    <t>Услуги по стирке и глажению белья</t>
  </si>
  <si>
    <t>Услуги по тех.обслуживанию пожарной сигнализации</t>
  </si>
  <si>
    <t>Услуги по очистке кровли</t>
  </si>
  <si>
    <t>Услуги по техническому обслуживанию видеонаблюдения</t>
  </si>
  <si>
    <t>Поверка диэлектр. перчаток и клещей</t>
  </si>
  <si>
    <t>Услуги по поверке весов</t>
  </si>
  <si>
    <t>Медосмотр сотрудников</t>
  </si>
  <si>
    <t>Изготовление бланков аттестатов</t>
  </si>
  <si>
    <t>Электронная отчетность</t>
  </si>
  <si>
    <t xml:space="preserve">Приобретение услуг связи </t>
  </si>
  <si>
    <t>Холодное водоснабжение</t>
  </si>
  <si>
    <t>Водоотведение</t>
  </si>
  <si>
    <t>Тепловая  энергия</t>
  </si>
  <si>
    <t>Электрическая энергия</t>
  </si>
  <si>
    <t>Возмещение коммунальных услуг</t>
  </si>
  <si>
    <t>3. Нормативные затраты на содержание имущества  (приложение 6)</t>
  </si>
  <si>
    <t>2. Затраты на общехозяйственные нужды.</t>
  </si>
  <si>
    <t>Приобретение услуг связи (абонентская плата)</t>
  </si>
  <si>
    <t>Поминутная оплата</t>
  </si>
  <si>
    <t>Изготовление бланков</t>
  </si>
  <si>
    <t>курсы повышения квалификации пед.работников</t>
  </si>
  <si>
    <t>курсы повышения квалификации пед. работников</t>
  </si>
  <si>
    <t>Экологический сбор</t>
  </si>
  <si>
    <t>Госпошлина</t>
  </si>
  <si>
    <t>ОТЧЕТ</t>
  </si>
  <si>
    <t xml:space="preserve">об использовании субсидии </t>
  </si>
  <si>
    <t>№ п/п</t>
  </si>
  <si>
    <t>Наименование расходов</t>
  </si>
  <si>
    <t>Поступило</t>
  </si>
  <si>
    <t>Израсходовано</t>
  </si>
  <si>
    <t>Остаток на отчетную дату</t>
  </si>
  <si>
    <t>Причина  образования остатка</t>
  </si>
  <si>
    <t>с начала года (нарастающим итогом)</t>
  </si>
  <si>
    <t>в том числе за отчетный период</t>
  </si>
  <si>
    <t>Реализация основных общеобразовательных программ всего, в том числе: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</si>
  <si>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</si>
  <si>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коррекция</t>
  </si>
  <si>
    <t>для коррекции (только 1 класс)</t>
  </si>
  <si>
    <t xml:space="preserve">обычные </t>
  </si>
  <si>
    <t>Электронная отчетность, ЭЦП</t>
  </si>
  <si>
    <t>K нормативных затрат на коммунальные услуги</t>
  </si>
  <si>
    <t xml:space="preserve"> затраты на коммунальные услуги с учетом увеличения</t>
  </si>
  <si>
    <t>K ормативных затрат на содержание имущества</t>
  </si>
  <si>
    <t>Интернет</t>
  </si>
  <si>
    <t xml:space="preserve">Директор МБОУ </t>
  </si>
  <si>
    <t xml:space="preserve">Гл.бухгалтер МБОУ 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</si>
  <si>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Пензенской области) .</t>
  </si>
  <si>
    <t>Норматив   на   финансовое обеспечение предупредительных мер по сокращению производственного травматизма и профессиональных заболеваний (за счет бюджета г.Пензы) .</t>
  </si>
  <si>
    <t>226(119)</t>
  </si>
  <si>
    <t>340(119)</t>
  </si>
  <si>
    <t>Уборка контейн.площ</t>
  </si>
  <si>
    <t>противопож.меропр</t>
  </si>
  <si>
    <t>тех.обсл.узл.рег</t>
  </si>
  <si>
    <t>Приобретение услуг связи (абонентская плата) дек,</t>
  </si>
  <si>
    <t>Интернет декабрь 2016</t>
  </si>
  <si>
    <t>узи молочных желез</t>
  </si>
  <si>
    <t>медосмотр женщины</t>
  </si>
  <si>
    <t>медосмотр мужчины</t>
  </si>
  <si>
    <t>доп.исслед лагерь</t>
  </si>
  <si>
    <t>аттестация раб.мест</t>
  </si>
  <si>
    <t>Договор подряда (мед.сестра бассейна)</t>
  </si>
  <si>
    <t>Договор на услуги реабилитационного центра</t>
  </si>
  <si>
    <t>утилизация</t>
  </si>
  <si>
    <t>тревожная кнопка</t>
  </si>
  <si>
    <t>тех.обсл.бассейна</t>
  </si>
  <si>
    <t>возмещение на СИЗы с травматизма</t>
  </si>
  <si>
    <t>огнезащитная обработка</t>
  </si>
  <si>
    <t>обследование бассейна</t>
  </si>
  <si>
    <t>Е.Ю. Шорникова</t>
  </si>
  <si>
    <t>Т.А. Закутаева</t>
  </si>
  <si>
    <t>Директор МБОУ СОШ № 63</t>
  </si>
  <si>
    <t>Директор МБОУ СОШ 63</t>
  </si>
  <si>
    <t>Гл.бухгалтер МБОУ СОШ 63</t>
  </si>
  <si>
    <t>Директор  МБОУ СОШ 63</t>
  </si>
  <si>
    <t>Бюджетные назначения на 2017 год</t>
  </si>
  <si>
    <t>за 3 квартал  2017 года</t>
  </si>
  <si>
    <t>Руководитель_________________ Е.Ю. Шорникова</t>
  </si>
  <si>
    <t>Гл.бухгалтер_________________Т.А. Закутаева</t>
  </si>
  <si>
    <t>остаток по КОСГУ 221 "Услуги связи"  в сумме 6844,28 рублей образовался ввиду отсутствия счета фактуры на оплату услуг за сентябрь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</si>
</sst>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00000000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name val="Arial Cyr"/>
      <charset val="204"/>
    </font>
    <font>
      <u/>
      <sz val="12"/>
      <name val="Verdana"/>
      <family val="2"/>
      <charset val="204"/>
    </font>
    <font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 Cyr"/>
      <charset val="204"/>
    </font>
    <font>
      <u/>
      <sz val="14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23" fillId="0" borderId="0" applyFont="0" applyFill="0" applyBorder="0" applyAlignment="0" applyProtection="0"/>
  </cellStyleXfs>
  <cellXfs count="424">
    <xf numFmtId="0" fontId="0" fillId="0" borderId="0" xfId="0"/>
    <xf numFmtId="0" fontId="1" fillId="0" borderId="0" xfId="1" applyFont="1"/>
    <xf numFmtId="0" fontId="1" fillId="0" borderId="0" xfId="1" applyFont="1" applyAlignment="1">
      <alignment wrapText="1"/>
    </xf>
    <xf numFmtId="0" fontId="1" fillId="0" borderId="0" xfId="1" applyFont="1" applyFill="1"/>
    <xf numFmtId="0" fontId="1" fillId="0" borderId="0" xfId="1" applyFont="1" applyProtection="1">
      <protection locked="0"/>
    </xf>
    <xf numFmtId="0" fontId="1" fillId="0" borderId="0" xfId="1" applyFont="1" applyAlignment="1"/>
    <xf numFmtId="0" fontId="1" fillId="0" borderId="0" xfId="1" applyFont="1" applyAlignment="1" applyProtection="1">
      <protection locked="0"/>
    </xf>
    <xf numFmtId="4" fontId="1" fillId="0" borderId="2" xfId="1" applyNumberFormat="1" applyFont="1" applyBorder="1" applyAlignment="1">
      <alignment wrapText="1"/>
    </xf>
    <xf numFmtId="4" fontId="1" fillId="0" borderId="3" xfId="1" applyNumberFormat="1" applyFont="1" applyBorder="1" applyAlignment="1">
      <alignment wrapText="1"/>
    </xf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6" xfId="1" applyFont="1" applyBorder="1" applyAlignment="1">
      <alignment wrapText="1"/>
    </xf>
    <xf numFmtId="4" fontId="1" fillId="0" borderId="5" xfId="1" applyNumberFormat="1" applyFont="1" applyBorder="1" applyAlignment="1">
      <alignment wrapText="1"/>
    </xf>
    <xf numFmtId="4" fontId="1" fillId="0" borderId="1" xfId="1" applyNumberFormat="1" applyFont="1" applyBorder="1" applyAlignment="1">
      <alignment wrapText="1"/>
    </xf>
    <xf numFmtId="0" fontId="1" fillId="0" borderId="9" xfId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4" xfId="1" applyFont="1" applyBorder="1"/>
    <xf numFmtId="2" fontId="1" fillId="0" borderId="1" xfId="1" applyNumberFormat="1" applyFont="1" applyBorder="1" applyAlignment="1">
      <alignment wrapText="1"/>
    </xf>
    <xf numFmtId="0" fontId="1" fillId="0" borderId="6" xfId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0" xfId="1" applyNumberFormat="1" applyFont="1" applyAlignment="1">
      <alignment wrapText="1"/>
    </xf>
    <xf numFmtId="0" fontId="1" fillId="0" borderId="10" xfId="1" applyFont="1" applyBorder="1"/>
    <xf numFmtId="0" fontId="1" fillId="2" borderId="1" xfId="0" applyFont="1" applyFill="1" applyBorder="1"/>
    <xf numFmtId="2" fontId="1" fillId="0" borderId="0" xfId="1" applyNumberFormat="1" applyFont="1"/>
    <xf numFmtId="165" fontId="1" fillId="0" borderId="1" xfId="0" applyNumberFormat="1" applyFont="1" applyBorder="1"/>
    <xf numFmtId="165" fontId="1" fillId="0" borderId="1" xfId="1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4" fontId="1" fillId="0" borderId="0" xfId="1" applyNumberFormat="1" applyFont="1" applyBorder="1" applyAlignment="1">
      <alignment wrapText="1"/>
    </xf>
    <xf numFmtId="0" fontId="1" fillId="0" borderId="0" xfId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10" fillId="0" borderId="0" xfId="1" applyFont="1"/>
    <xf numFmtId="0" fontId="10" fillId="0" borderId="0" xfId="1" applyFont="1" applyAlignment="1">
      <alignment wrapText="1"/>
    </xf>
    <xf numFmtId="0" fontId="2" fillId="0" borderId="0" xfId="1" applyFont="1" applyFill="1"/>
    <xf numFmtId="0" fontId="2" fillId="0" borderId="0" xfId="1" applyFont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1" xfId="1" applyFont="1" applyBorder="1"/>
    <xf numFmtId="0" fontId="2" fillId="0" borderId="6" xfId="1" applyFont="1" applyBorder="1"/>
    <xf numFmtId="0" fontId="2" fillId="0" borderId="6" xfId="1" applyFont="1" applyBorder="1" applyAlignment="1">
      <alignment wrapText="1"/>
    </xf>
    <xf numFmtId="0" fontId="2" fillId="0" borderId="13" xfId="1" applyFont="1" applyBorder="1"/>
    <xf numFmtId="0" fontId="2" fillId="0" borderId="14" xfId="1" applyFont="1" applyBorder="1" applyAlignment="1">
      <alignment wrapText="1"/>
    </xf>
    <xf numFmtId="0" fontId="2" fillId="0" borderId="0" xfId="1" applyFont="1" applyAlignment="1">
      <alignment wrapText="1"/>
    </xf>
    <xf numFmtId="0" fontId="2" fillId="0" borderId="4" xfId="1" applyFont="1" applyBorder="1" applyAlignment="1">
      <alignment wrapText="1"/>
    </xf>
    <xf numFmtId="2" fontId="2" fillId="0" borderId="5" xfId="1" applyNumberFormat="1" applyFont="1" applyBorder="1"/>
    <xf numFmtId="0" fontId="2" fillId="0" borderId="0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Border="1" applyAlignment="1">
      <alignment horizontal="center"/>
    </xf>
    <xf numFmtId="0" fontId="1" fillId="0" borderId="0" xfId="1" applyFont="1" applyBorder="1"/>
    <xf numFmtId="0" fontId="5" fillId="0" borderId="0" xfId="1"/>
    <xf numFmtId="0" fontId="5" fillId="0" borderId="0" xfId="1" applyFont="1"/>
    <xf numFmtId="0" fontId="5" fillId="0" borderId="0" xfId="1" applyFont="1" applyFill="1"/>
    <xf numFmtId="0" fontId="5" fillId="0" borderId="0" xfId="1" applyProtection="1">
      <protection locked="0"/>
    </xf>
    <xf numFmtId="0" fontId="5" fillId="0" borderId="0" xfId="1" applyFont="1" applyAlignment="1"/>
    <xf numFmtId="0" fontId="5" fillId="0" borderId="2" xfId="1" applyBorder="1"/>
    <xf numFmtId="0" fontId="5" fillId="0" borderId="3" xfId="1" applyBorder="1"/>
    <xf numFmtId="0" fontId="5" fillId="0" borderId="5" xfId="1" applyBorder="1"/>
    <xf numFmtId="0" fontId="5" fillId="0" borderId="1" xfId="1" applyBorder="1"/>
    <xf numFmtId="0" fontId="5" fillId="0" borderId="9" xfId="1" applyBorder="1" applyAlignment="1">
      <alignment wrapText="1"/>
    </xf>
    <xf numFmtId="0" fontId="1" fillId="3" borderId="6" xfId="1" applyFont="1" applyFill="1" applyBorder="1" applyAlignment="1">
      <alignment vertical="top" wrapText="1"/>
    </xf>
    <xf numFmtId="0" fontId="12" fillId="0" borderId="0" xfId="1" applyFont="1" applyAlignment="1">
      <alignment wrapText="1"/>
    </xf>
    <xf numFmtId="0" fontId="5" fillId="0" borderId="0" xfId="1" applyAlignment="1">
      <alignment wrapText="1"/>
    </xf>
    <xf numFmtId="0" fontId="5" fillId="0" borderId="4" xfId="1" applyBorder="1" applyAlignment="1">
      <alignment wrapText="1"/>
    </xf>
    <xf numFmtId="0" fontId="5" fillId="0" borderId="6" xfId="1" applyBorder="1" applyAlignment="1">
      <alignment wrapText="1"/>
    </xf>
    <xf numFmtId="0" fontId="5" fillId="0" borderId="0" xfId="1" applyBorder="1" applyAlignment="1">
      <alignment horizontal="center"/>
    </xf>
    <xf numFmtId="0" fontId="5" fillId="0" borderId="0" xfId="1" applyBorder="1"/>
    <xf numFmtId="4" fontId="5" fillId="0" borderId="0" xfId="1" applyNumberFormat="1"/>
    <xf numFmtId="0" fontId="5" fillId="0" borderId="3" xfId="1" applyBorder="1" applyAlignment="1">
      <alignment horizontal="center"/>
    </xf>
    <xf numFmtId="0" fontId="5" fillId="0" borderId="0" xfId="1" applyFont="1" applyAlignment="1">
      <alignment wrapText="1"/>
    </xf>
    <xf numFmtId="4" fontId="5" fillId="0" borderId="0" xfId="1" applyNumberFormat="1" applyFont="1"/>
    <xf numFmtId="4" fontId="5" fillId="0" borderId="0" xfId="1" applyNumberFormat="1" applyFont="1" applyAlignment="1">
      <alignment horizontal="center"/>
    </xf>
    <xf numFmtId="0" fontId="5" fillId="5" borderId="0" xfId="1" applyFont="1" applyFill="1"/>
    <xf numFmtId="4" fontId="1" fillId="6" borderId="2" xfId="1" applyNumberFormat="1" applyFont="1" applyFill="1" applyBorder="1" applyAlignment="1">
      <alignment horizontal="center" vertical="top" wrapText="1"/>
    </xf>
    <xf numFmtId="0" fontId="1" fillId="6" borderId="3" xfId="1" applyFont="1" applyFill="1" applyBorder="1" applyAlignment="1">
      <alignment horizontal="center" vertical="top" wrapText="1"/>
    </xf>
    <xf numFmtId="2" fontId="4" fillId="6" borderId="3" xfId="1" applyNumberFormat="1" applyFont="1" applyFill="1" applyBorder="1" applyAlignment="1">
      <alignment horizontal="center" vertical="top" wrapText="1"/>
    </xf>
    <xf numFmtId="10" fontId="1" fillId="6" borderId="3" xfId="1" applyNumberFormat="1" applyFont="1" applyFill="1" applyBorder="1" applyAlignment="1">
      <alignment horizontal="center" vertical="top" wrapText="1"/>
    </xf>
    <xf numFmtId="0" fontId="1" fillId="6" borderId="4" xfId="1" applyFont="1" applyFill="1" applyBorder="1" applyAlignment="1">
      <alignment vertical="top" wrapText="1"/>
    </xf>
    <xf numFmtId="4" fontId="1" fillId="0" borderId="5" xfId="1" applyNumberFormat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2" fontId="1" fillId="0" borderId="1" xfId="1" applyNumberFormat="1" applyFont="1" applyBorder="1" applyAlignment="1">
      <alignment horizontal="center" vertical="top" wrapText="1"/>
    </xf>
    <xf numFmtId="10" fontId="1" fillId="0" borderId="1" xfId="1" applyNumberFormat="1" applyFont="1" applyBorder="1" applyAlignment="1">
      <alignment horizontal="center" vertical="top" wrapText="1"/>
    </xf>
    <xf numFmtId="0" fontId="1" fillId="0" borderId="6" xfId="1" applyFont="1" applyBorder="1" applyAlignment="1">
      <alignment vertical="top" wrapText="1"/>
    </xf>
    <xf numFmtId="4" fontId="1" fillId="0" borderId="7" xfId="1" applyNumberFormat="1" applyFont="1" applyBorder="1" applyAlignment="1">
      <alignment horizontal="center" vertical="top" wrapText="1"/>
    </xf>
    <xf numFmtId="0" fontId="1" fillId="0" borderId="8" xfId="1" applyFont="1" applyBorder="1" applyAlignment="1">
      <alignment horizontal="center" vertical="top" wrapText="1"/>
    </xf>
    <xf numFmtId="2" fontId="1" fillId="0" borderId="8" xfId="1" applyNumberFormat="1" applyFont="1" applyBorder="1" applyAlignment="1">
      <alignment horizontal="center" vertical="top" wrapText="1"/>
    </xf>
    <xf numFmtId="10" fontId="1" fillId="0" borderId="8" xfId="1" applyNumberFormat="1" applyFont="1" applyBorder="1" applyAlignment="1">
      <alignment horizontal="center" vertical="top" wrapText="1"/>
    </xf>
    <xf numFmtId="0" fontId="1" fillId="0" borderId="9" xfId="1" applyFont="1" applyBorder="1" applyAlignment="1">
      <alignment vertical="top" wrapText="1"/>
    </xf>
    <xf numFmtId="0" fontId="5" fillId="7" borderId="0" xfId="1" applyFont="1" applyFill="1"/>
    <xf numFmtId="4" fontId="1" fillId="7" borderId="16" xfId="1" applyNumberFormat="1" applyFont="1" applyFill="1" applyBorder="1" applyAlignment="1">
      <alignment horizontal="center" vertical="top" wrapText="1"/>
    </xf>
    <xf numFmtId="0" fontId="1" fillId="7" borderId="17" xfId="1" applyFont="1" applyFill="1" applyBorder="1" applyAlignment="1">
      <alignment vertical="top" wrapText="1"/>
    </xf>
    <xf numFmtId="4" fontId="1" fillId="7" borderId="17" xfId="1" applyNumberFormat="1" applyFont="1" applyFill="1" applyBorder="1" applyAlignment="1">
      <alignment horizontal="center" vertical="top" wrapText="1"/>
    </xf>
    <xf numFmtId="0" fontId="1" fillId="7" borderId="18" xfId="1" applyFont="1" applyFill="1" applyBorder="1" applyAlignment="1">
      <alignment vertical="top" wrapText="1"/>
    </xf>
    <xf numFmtId="0" fontId="5" fillId="3" borderId="0" xfId="1" applyFont="1" applyFill="1"/>
    <xf numFmtId="4" fontId="1" fillId="5" borderId="2" xfId="1" applyNumberFormat="1" applyFont="1" applyFill="1" applyBorder="1" applyAlignment="1">
      <alignment horizontal="center" vertical="top" wrapText="1"/>
    </xf>
    <xf numFmtId="0" fontId="1" fillId="5" borderId="3" xfId="1" applyFont="1" applyFill="1" applyBorder="1" applyAlignment="1">
      <alignment vertical="top" wrapText="1"/>
    </xf>
    <xf numFmtId="0" fontId="1" fillId="5" borderId="3" xfId="1" applyFont="1" applyFill="1" applyBorder="1" applyAlignment="1">
      <alignment horizontal="center" vertical="top" wrapText="1"/>
    </xf>
    <xf numFmtId="0" fontId="1" fillId="5" borderId="4" xfId="1" applyFont="1" applyFill="1" applyBorder="1" applyAlignment="1">
      <alignment vertical="top" wrapText="1"/>
    </xf>
    <xf numFmtId="0" fontId="5" fillId="2" borderId="0" xfId="1" applyFont="1" applyFill="1"/>
    <xf numFmtId="4" fontId="1" fillId="2" borderId="11" xfId="1" applyNumberFormat="1" applyFont="1" applyFill="1" applyBorder="1" applyAlignment="1">
      <alignment horizontal="center" vertical="top" wrapText="1"/>
    </xf>
    <xf numFmtId="0" fontId="1" fillId="2" borderId="11" xfId="1" applyFont="1" applyFill="1" applyBorder="1" applyAlignment="1">
      <alignment vertical="top" wrapText="1"/>
    </xf>
    <xf numFmtId="4" fontId="1" fillId="3" borderId="2" xfId="1" applyNumberFormat="1" applyFont="1" applyFill="1" applyBorder="1" applyAlignment="1">
      <alignment horizontal="center" vertical="top" wrapText="1"/>
    </xf>
    <xf numFmtId="0" fontId="1" fillId="3" borderId="3" xfId="1" applyFont="1" applyFill="1" applyBorder="1" applyAlignment="1">
      <alignment vertical="top" wrapText="1"/>
    </xf>
    <xf numFmtId="0" fontId="1" fillId="0" borderId="19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3" borderId="4" xfId="1" applyFont="1" applyFill="1" applyBorder="1" applyAlignment="1">
      <alignment vertical="top" wrapText="1"/>
    </xf>
    <xf numFmtId="4" fontId="1" fillId="3" borderId="7" xfId="1" applyNumberFormat="1" applyFont="1" applyFill="1" applyBorder="1" applyAlignment="1">
      <alignment horizontal="center" vertical="top" wrapText="1"/>
    </xf>
    <xf numFmtId="0" fontId="1" fillId="3" borderId="8" xfId="1" applyFont="1" applyFill="1" applyBorder="1" applyAlignment="1">
      <alignment vertical="top" wrapText="1"/>
    </xf>
    <xf numFmtId="0" fontId="1" fillId="3" borderId="9" xfId="1" applyFont="1" applyFill="1" applyBorder="1" applyAlignment="1">
      <alignment vertical="top" wrapText="1"/>
    </xf>
    <xf numFmtId="4" fontId="1" fillId="2" borderId="2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vertical="top" wrapText="1"/>
    </xf>
    <xf numFmtId="0" fontId="1" fillId="2" borderId="4" xfId="1" applyFont="1" applyFill="1" applyBorder="1" applyAlignment="1">
      <alignment vertical="top" wrapText="1"/>
    </xf>
    <xf numFmtId="4" fontId="1" fillId="3" borderId="5" xfId="1" applyNumberFormat="1" applyFont="1" applyFill="1" applyBorder="1" applyAlignment="1">
      <alignment horizontal="center" vertical="top" wrapText="1"/>
    </xf>
    <xf numFmtId="0" fontId="1" fillId="3" borderId="1" xfId="1" applyFont="1" applyFill="1" applyBorder="1" applyAlignment="1">
      <alignment vertical="top" wrapText="1"/>
    </xf>
    <xf numFmtId="0" fontId="1" fillId="3" borderId="1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1" fillId="3" borderId="8" xfId="1" applyFont="1" applyFill="1" applyBorder="1" applyAlignment="1">
      <alignment horizontal="center" vertical="top" wrapText="1"/>
    </xf>
    <xf numFmtId="0" fontId="5" fillId="8" borderId="0" xfId="1" applyFont="1" applyFill="1"/>
    <xf numFmtId="0" fontId="1" fillId="8" borderId="2" xfId="1" applyFont="1" applyFill="1" applyBorder="1" applyAlignment="1">
      <alignment horizontal="center" vertical="top" wrapText="1"/>
    </xf>
    <xf numFmtId="0" fontId="1" fillId="8" borderId="3" xfId="1" applyFont="1" applyFill="1" applyBorder="1" applyAlignment="1">
      <alignment vertical="top" wrapText="1"/>
    </xf>
    <xf numFmtId="0" fontId="1" fillId="8" borderId="4" xfId="1" applyFont="1" applyFill="1" applyBorder="1" applyAlignment="1">
      <alignment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Border="1" applyAlignment="1">
      <alignment vertical="top" wrapText="1"/>
    </xf>
    <xf numFmtId="0" fontId="1" fillId="0" borderId="14" xfId="1" applyFont="1" applyBorder="1" applyAlignment="1">
      <alignment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1" xfId="1" applyFont="1" applyBorder="1" applyAlignment="1">
      <alignment vertical="top" wrapText="1"/>
    </xf>
    <xf numFmtId="0" fontId="1" fillId="0" borderId="7" xfId="1" applyFont="1" applyBorder="1" applyAlignment="1">
      <alignment horizontal="center" vertical="top" wrapText="1"/>
    </xf>
    <xf numFmtId="0" fontId="1" fillId="0" borderId="8" xfId="1" applyFont="1" applyBorder="1" applyAlignment="1">
      <alignment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4" fillId="2" borderId="4" xfId="1" applyFont="1" applyFill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4" fontId="1" fillId="2" borderId="3" xfId="1" applyNumberFormat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wrapText="1"/>
    </xf>
    <xf numFmtId="0" fontId="4" fillId="0" borderId="6" xfId="1" applyFont="1" applyBorder="1" applyAlignment="1">
      <alignment wrapText="1"/>
    </xf>
    <xf numFmtId="4" fontId="1" fillId="0" borderId="20" xfId="1" applyNumberFormat="1" applyFont="1" applyBorder="1" applyAlignment="1">
      <alignment horizontal="center" vertical="top" wrapText="1"/>
    </xf>
    <xf numFmtId="0" fontId="1" fillId="0" borderId="21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wrapText="1"/>
    </xf>
    <xf numFmtId="0" fontId="10" fillId="9" borderId="1" xfId="1" applyFont="1" applyFill="1" applyBorder="1" applyAlignment="1" applyProtection="1">
      <alignment horizontal="center" wrapText="1"/>
      <protection locked="0"/>
    </xf>
    <xf numFmtId="0" fontId="1" fillId="0" borderId="1" xfId="1" applyFont="1" applyBorder="1" applyAlignment="1">
      <alignment horizontal="center" wrapText="1"/>
    </xf>
    <xf numFmtId="0" fontId="16" fillId="0" borderId="0" xfId="1" applyFont="1" applyAlignment="1">
      <alignment vertical="center" wrapText="1"/>
    </xf>
    <xf numFmtId="4" fontId="5" fillId="0" borderId="1" xfId="1" applyNumberFormat="1" applyBorder="1"/>
    <xf numFmtId="4" fontId="5" fillId="9" borderId="1" xfId="1" applyNumberFormat="1" applyFill="1" applyBorder="1" applyProtection="1">
      <protection locked="0"/>
    </xf>
    <xf numFmtId="0" fontId="18" fillId="0" borderId="0" xfId="1" applyFont="1"/>
    <xf numFmtId="0" fontId="18" fillId="0" borderId="0" xfId="1" applyFont="1" applyProtection="1">
      <protection locked="0"/>
    </xf>
    <xf numFmtId="4" fontId="18" fillId="0" borderId="0" xfId="1" applyNumberFormat="1" applyFont="1" applyProtection="1">
      <protection locked="0"/>
    </xf>
    <xf numFmtId="4" fontId="5" fillId="0" borderId="1" xfId="1" applyNumberFormat="1" applyFont="1" applyBorder="1"/>
    <xf numFmtId="4" fontId="5" fillId="9" borderId="1" xfId="1" applyNumberFormat="1" applyFont="1" applyFill="1" applyBorder="1" applyProtection="1">
      <protection locked="0"/>
    </xf>
    <xf numFmtId="49" fontId="18" fillId="0" borderId="1" xfId="1" applyNumberFormat="1" applyFont="1" applyBorder="1" applyAlignment="1">
      <alignment horizontal="right"/>
    </xf>
    <xf numFmtId="0" fontId="18" fillId="0" borderId="1" xfId="1" applyFont="1" applyBorder="1"/>
    <xf numFmtId="4" fontId="18" fillId="0" borderId="1" xfId="1" applyNumberFormat="1" applyFont="1" applyBorder="1"/>
    <xf numFmtId="4" fontId="5" fillId="0" borderId="0" xfId="1" applyNumberFormat="1" applyFont="1" applyFill="1"/>
    <xf numFmtId="0" fontId="5" fillId="0" borderId="1" xfId="1" applyFont="1" applyFill="1" applyBorder="1"/>
    <xf numFmtId="4" fontId="5" fillId="10" borderId="1" xfId="1" applyNumberFormat="1" applyFont="1" applyFill="1" applyBorder="1" applyProtection="1">
      <protection locked="0"/>
    </xf>
    <xf numFmtId="4" fontId="18" fillId="0" borderId="0" xfId="1" applyNumberFormat="1" applyFont="1"/>
    <xf numFmtId="0" fontId="5" fillId="11" borderId="1" xfId="1" applyFont="1" applyFill="1" applyBorder="1"/>
    <xf numFmtId="4" fontId="5" fillId="0" borderId="1" xfId="1" applyNumberFormat="1" applyFont="1" applyFill="1" applyBorder="1" applyProtection="1">
      <protection locked="0"/>
    </xf>
    <xf numFmtId="0" fontId="5" fillId="0" borderId="0" xfId="1" applyFont="1" applyFill="1" applyAlignment="1">
      <alignment horizontal="center"/>
    </xf>
    <xf numFmtId="0" fontId="1" fillId="0" borderId="3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 vertical="top" wrapText="1"/>
    </xf>
    <xf numFmtId="4" fontId="1" fillId="0" borderId="1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/>
    </xf>
    <xf numFmtId="0" fontId="20" fillId="0" borderId="18" xfId="1" applyFont="1" applyFill="1" applyBorder="1" applyAlignment="1">
      <alignment vertical="top" wrapText="1"/>
    </xf>
    <xf numFmtId="0" fontId="21" fillId="0" borderId="17" xfId="1" applyFont="1" applyBorder="1"/>
    <xf numFmtId="0" fontId="3" fillId="0" borderId="0" xfId="1" applyFont="1" applyAlignment="1">
      <alignment horizontal="center" vertical="center" wrapText="1"/>
    </xf>
    <xf numFmtId="2" fontId="2" fillId="11" borderId="5" xfId="1" applyNumberFormat="1" applyFont="1" applyFill="1" applyBorder="1"/>
    <xf numFmtId="0" fontId="2" fillId="0" borderId="6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top" wrapText="1"/>
    </xf>
    <xf numFmtId="0" fontId="5" fillId="0" borderId="24" xfId="1" applyFont="1" applyBorder="1" applyAlignment="1"/>
    <xf numFmtId="0" fontId="5" fillId="0" borderId="24" xfId="1" applyFont="1" applyBorder="1"/>
    <xf numFmtId="0" fontId="5" fillId="0" borderId="9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164" fontId="18" fillId="0" borderId="0" xfId="2" applyFont="1"/>
    <xf numFmtId="0" fontId="5" fillId="0" borderId="9" xfId="1" applyBorder="1" applyAlignment="1">
      <alignment horizontal="center" vertical="center" wrapText="1"/>
    </xf>
    <xf numFmtId="0" fontId="5" fillId="0" borderId="8" xfId="1" applyBorder="1" applyAlignment="1">
      <alignment horizontal="center" vertical="center" wrapText="1"/>
    </xf>
    <xf numFmtId="0" fontId="5" fillId="0" borderId="7" xfId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2" fontId="5" fillId="0" borderId="1" xfId="1" applyNumberFormat="1" applyBorder="1"/>
    <xf numFmtId="0" fontId="1" fillId="0" borderId="0" xfId="1" applyFont="1" applyAlignment="1" applyProtection="1">
      <protection locked="0"/>
    </xf>
    <xf numFmtId="0" fontId="1" fillId="0" borderId="9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5" xfId="1" applyFont="1" applyFill="1" applyBorder="1"/>
    <xf numFmtId="2" fontId="2" fillId="0" borderId="5" xfId="1" applyNumberFormat="1" applyFont="1" applyFill="1" applyBorder="1"/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10" xfId="1" applyFont="1" applyBorder="1" applyAlignment="1">
      <alignment wrapText="1"/>
    </xf>
    <xf numFmtId="0" fontId="5" fillId="0" borderId="0" xfId="1" applyFont="1" applyBorder="1" applyAlignment="1"/>
    <xf numFmtId="0" fontId="5" fillId="0" borderId="0" xfId="1" applyFont="1" applyBorder="1"/>
    <xf numFmtId="4" fontId="9" fillId="0" borderId="17" xfId="1" applyNumberFormat="1" applyFont="1" applyBorder="1" applyAlignment="1">
      <alignment horizontal="center"/>
    </xf>
    <xf numFmtId="0" fontId="9" fillId="0" borderId="17" xfId="1" applyFont="1" applyBorder="1"/>
    <xf numFmtId="4" fontId="9" fillId="0" borderId="16" xfId="1" applyNumberFormat="1" applyFont="1" applyBorder="1" applyAlignment="1">
      <alignment horizontal="center"/>
    </xf>
    <xf numFmtId="4" fontId="1" fillId="0" borderId="7" xfId="1" applyNumberFormat="1" applyFont="1" applyBorder="1" applyAlignment="1">
      <alignment horizontal="center" vertical="top"/>
    </xf>
    <xf numFmtId="4" fontId="1" fillId="0" borderId="5" xfId="1" applyNumberFormat="1" applyFont="1" applyBorder="1" applyAlignment="1">
      <alignment horizontal="center" vertical="top"/>
    </xf>
    <xf numFmtId="0" fontId="1" fillId="0" borderId="1" xfId="1" applyFont="1" applyBorder="1" applyAlignment="1">
      <alignment horizontal="center" vertical="top" wrapText="1"/>
    </xf>
    <xf numFmtId="0" fontId="1" fillId="0" borderId="1" xfId="1" applyFont="1" applyBorder="1" applyAlignment="1">
      <alignment wrapText="1"/>
    </xf>
    <xf numFmtId="0" fontId="1" fillId="0" borderId="3" xfId="1" applyFont="1" applyBorder="1" applyAlignment="1">
      <alignment wrapText="1"/>
    </xf>
    <xf numFmtId="4" fontId="1" fillId="0" borderId="0" xfId="0" applyNumberFormat="1" applyFont="1" applyBorder="1"/>
    <xf numFmtId="0" fontId="2" fillId="0" borderId="10" xfId="1" applyFont="1" applyBorder="1" applyAlignment="1">
      <alignment wrapText="1"/>
    </xf>
    <xf numFmtId="0" fontId="2" fillId="0" borderId="11" xfId="1" applyFont="1" applyBorder="1"/>
    <xf numFmtId="0" fontId="2" fillId="0" borderId="20" xfId="1" applyFont="1" applyFill="1" applyBorder="1"/>
    <xf numFmtId="0" fontId="2" fillId="0" borderId="2" xfId="1" applyFont="1" applyFill="1" applyBorder="1"/>
    <xf numFmtId="0" fontId="2" fillId="0" borderId="41" xfId="1" applyFont="1" applyBorder="1" applyAlignment="1">
      <alignment wrapText="1"/>
    </xf>
    <xf numFmtId="0" fontId="2" fillId="0" borderId="19" xfId="1" applyFont="1" applyBorder="1"/>
    <xf numFmtId="0" fontId="2" fillId="0" borderId="42" xfId="1" applyFont="1" applyBorder="1"/>
    <xf numFmtId="2" fontId="2" fillId="0" borderId="2" xfId="1" applyNumberFormat="1" applyFont="1" applyBorder="1"/>
    <xf numFmtId="0" fontId="5" fillId="0" borderId="4" xfId="1" applyBorder="1"/>
    <xf numFmtId="0" fontId="5" fillId="0" borderId="14" xfId="1" applyBorder="1"/>
    <xf numFmtId="0" fontId="0" fillId="0" borderId="0" xfId="0" applyAlignment="1">
      <alignment wrapText="1"/>
    </xf>
    <xf numFmtId="0" fontId="27" fillId="0" borderId="1" xfId="0" applyFont="1" applyBorder="1" applyAlignment="1">
      <alignment wrapText="1"/>
    </xf>
    <xf numFmtId="0" fontId="27" fillId="12" borderId="1" xfId="0" applyFont="1" applyFill="1" applyBorder="1" applyAlignment="1">
      <alignment horizontal="center"/>
    </xf>
    <xf numFmtId="0" fontId="27" fillId="12" borderId="1" xfId="0" applyFont="1" applyFill="1" applyBorder="1" applyAlignment="1">
      <alignment wrapText="1"/>
    </xf>
    <xf numFmtId="4" fontId="27" fillId="12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4" fontId="27" fillId="0" borderId="1" xfId="0" applyNumberFormat="1" applyFont="1" applyBorder="1" applyAlignment="1">
      <alignment horizontal="center"/>
    </xf>
    <xf numFmtId="4" fontId="27" fillId="0" borderId="1" xfId="0" applyNumberFormat="1" applyFont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27" fillId="0" borderId="0" xfId="0" applyFont="1"/>
    <xf numFmtId="0" fontId="1" fillId="2" borderId="0" xfId="1" applyFont="1" applyFill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top" wrapText="1"/>
    </xf>
    <xf numFmtId="0" fontId="5" fillId="0" borderId="27" xfId="1" applyFont="1" applyFill="1" applyBorder="1" applyAlignment="1"/>
    <xf numFmtId="4" fontId="28" fillId="0" borderId="0" xfId="1" applyNumberFormat="1" applyFont="1" applyFill="1"/>
    <xf numFmtId="0" fontId="28" fillId="0" borderId="0" xfId="1" applyFont="1" applyFill="1"/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1" fillId="0" borderId="0" xfId="1" applyFont="1" applyAlignment="1" applyProtection="1">
      <protection locked="0"/>
    </xf>
    <xf numFmtId="0" fontId="29" fillId="0" borderId="5" xfId="1" applyFont="1" applyFill="1" applyBorder="1"/>
    <xf numFmtId="0" fontId="14" fillId="0" borderId="0" xfId="1" applyFont="1" applyAlignment="1">
      <alignment horizontal="center" wrapText="1"/>
    </xf>
    <xf numFmtId="4" fontId="1" fillId="0" borderId="5" xfId="1" applyNumberFormat="1" applyFont="1" applyBorder="1" applyAlignment="1">
      <alignment horizontal="center"/>
    </xf>
    <xf numFmtId="4" fontId="1" fillId="0" borderId="0" xfId="1" applyNumberFormat="1" applyFont="1" applyBorder="1" applyAlignment="1">
      <alignment horizontal="center"/>
    </xf>
    <xf numFmtId="4" fontId="1" fillId="0" borderId="0" xfId="1" applyNumberFormat="1" applyFont="1"/>
    <xf numFmtId="0" fontId="1" fillId="0" borderId="1" xfId="1" applyFont="1" applyBorder="1" applyAlignment="1">
      <alignment horizontal="center"/>
    </xf>
    <xf numFmtId="10" fontId="12" fillId="0" borderId="1" xfId="1" applyNumberFormat="1" applyFont="1" applyBorder="1"/>
    <xf numFmtId="164" fontId="12" fillId="0" borderId="5" xfId="2" applyFont="1" applyBorder="1"/>
    <xf numFmtId="164" fontId="12" fillId="0" borderId="13" xfId="2" applyFont="1" applyBorder="1" applyAlignment="1" applyProtection="1">
      <alignment horizontal="center" vertical="center"/>
      <protection locked="0"/>
    </xf>
    <xf numFmtId="10" fontId="12" fillId="0" borderId="13" xfId="1" applyNumberFormat="1" applyFont="1" applyBorder="1"/>
    <xf numFmtId="164" fontId="12" fillId="0" borderId="3" xfId="2" applyFont="1" applyBorder="1" applyAlignment="1" applyProtection="1">
      <alignment horizontal="center" vertical="center"/>
      <protection locked="0"/>
    </xf>
    <xf numFmtId="2" fontId="12" fillId="0" borderId="3" xfId="1" applyNumberFormat="1" applyFont="1" applyBorder="1" applyAlignment="1">
      <alignment horizontal="right"/>
    </xf>
    <xf numFmtId="164" fontId="12" fillId="0" borderId="2" xfId="2" applyFont="1" applyBorder="1"/>
    <xf numFmtId="0" fontId="27" fillId="0" borderId="0" xfId="0" applyFont="1" applyAlignment="1">
      <alignment horizontal="left"/>
    </xf>
    <xf numFmtId="4" fontId="1" fillId="0" borderId="1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4" fontId="1" fillId="0" borderId="3" xfId="1" applyNumberFormat="1" applyFont="1" applyBorder="1" applyAlignment="1">
      <alignment horizontal="center"/>
    </xf>
    <xf numFmtId="4" fontId="1" fillId="0" borderId="2" xfId="1" applyNumberFormat="1" applyFont="1" applyBorder="1" applyAlignment="1">
      <alignment horizontal="center"/>
    </xf>
    <xf numFmtId="0" fontId="1" fillId="0" borderId="41" xfId="1" applyFont="1" applyBorder="1" applyAlignment="1">
      <alignment wrapText="1"/>
    </xf>
    <xf numFmtId="0" fontId="1" fillId="0" borderId="43" xfId="1" applyFont="1" applyBorder="1" applyAlignment="1">
      <alignment horizontal="center" wrapText="1"/>
    </xf>
    <xf numFmtId="0" fontId="5" fillId="0" borderId="19" xfId="1" applyBorder="1" applyAlignment="1">
      <alignment horizontal="center"/>
    </xf>
    <xf numFmtId="4" fontId="5" fillId="0" borderId="20" xfId="1" applyNumberFormat="1" applyBorder="1" applyAlignment="1">
      <alignment horizontal="center"/>
    </xf>
    <xf numFmtId="0" fontId="12" fillId="0" borderId="8" xfId="1" applyFont="1" applyBorder="1" applyAlignment="1">
      <alignment horizontal="center" vertical="center" wrapText="1"/>
    </xf>
    <xf numFmtId="0" fontId="5" fillId="4" borderId="3" xfId="1" applyFill="1" applyBorder="1" applyAlignment="1">
      <alignment horizontal="center"/>
    </xf>
    <xf numFmtId="4" fontId="5" fillId="0" borderId="3" xfId="1" applyNumberFormat="1" applyBorder="1" applyAlignment="1">
      <alignment horizontal="center"/>
    </xf>
    <xf numFmtId="0" fontId="1" fillId="0" borderId="1" xfId="1" applyFont="1" applyBorder="1" applyAlignment="1">
      <alignment wrapText="1"/>
    </xf>
    <xf numFmtId="0" fontId="5" fillId="0" borderId="0" xfId="1" applyAlignment="1"/>
    <xf numFmtId="3" fontId="18" fillId="0" borderId="1" xfId="1" applyNumberFormat="1" applyFont="1" applyBorder="1"/>
    <xf numFmtId="0" fontId="4" fillId="0" borderId="9" xfId="1" applyFont="1" applyBorder="1" applyAlignment="1">
      <alignment horizontal="center" vertical="top" wrapText="1"/>
    </xf>
    <xf numFmtId="0" fontId="1" fillId="11" borderId="6" xfId="1" applyFont="1" applyFill="1" applyBorder="1" applyAlignment="1">
      <alignment wrapText="1"/>
    </xf>
    <xf numFmtId="0" fontId="1" fillId="11" borderId="4" xfId="1" applyFont="1" applyFill="1" applyBorder="1" applyAlignment="1">
      <alignment wrapText="1"/>
    </xf>
    <xf numFmtId="2" fontId="1" fillId="0" borderId="0" xfId="1" applyNumberFormat="1" applyFont="1" applyBorder="1" applyAlignment="1">
      <alignment wrapText="1"/>
    </xf>
    <xf numFmtId="4" fontId="1" fillId="0" borderId="1" xfId="1" applyNumberFormat="1" applyFont="1" applyBorder="1" applyAlignment="1">
      <alignment wrapText="1"/>
    </xf>
    <xf numFmtId="0" fontId="1" fillId="0" borderId="1" xfId="1" applyFont="1" applyBorder="1" applyAlignment="1">
      <alignment wrapText="1"/>
    </xf>
    <xf numFmtId="10" fontId="12" fillId="0" borderId="3" xfId="1" applyNumberFormat="1" applyFont="1" applyBorder="1"/>
    <xf numFmtId="0" fontId="1" fillId="0" borderId="6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5" fillId="0" borderId="1" xfId="1" applyFill="1" applyBorder="1" applyAlignment="1">
      <alignment horizontal="center"/>
    </xf>
    <xf numFmtId="4" fontId="5" fillId="0" borderId="1" xfId="1" applyNumberForma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1" fillId="0" borderId="5" xfId="1" applyNumberFormat="1" applyFont="1" applyFill="1" applyBorder="1" applyAlignment="1">
      <alignment horizontal="center"/>
    </xf>
    <xf numFmtId="0" fontId="5" fillId="0" borderId="0" xfId="1" applyFill="1"/>
    <xf numFmtId="0" fontId="1" fillId="0" borderId="6" xfId="1" applyFont="1" applyFill="1" applyBorder="1"/>
    <xf numFmtId="0" fontId="1" fillId="0" borderId="1" xfId="1" applyFont="1" applyFill="1" applyBorder="1" applyAlignment="1">
      <alignment horizontal="center"/>
    </xf>
    <xf numFmtId="0" fontId="30" fillId="0" borderId="1" xfId="1" applyFont="1" applyFill="1" applyBorder="1" applyAlignment="1">
      <alignment horizontal="center"/>
    </xf>
    <xf numFmtId="0" fontId="2" fillId="15" borderId="1" xfId="1" applyFont="1" applyFill="1" applyBorder="1"/>
    <xf numFmtId="2" fontId="31" fillId="2" borderId="1" xfId="0" applyNumberFormat="1" applyFont="1" applyFill="1" applyBorder="1"/>
    <xf numFmtId="0" fontId="1" fillId="0" borderId="1" xfId="1" applyFont="1" applyBorder="1" applyAlignment="1">
      <alignment wrapText="1"/>
    </xf>
    <xf numFmtId="4" fontId="5" fillId="16" borderId="1" xfId="1" applyNumberFormat="1" applyFill="1" applyBorder="1"/>
    <xf numFmtId="4" fontId="1" fillId="0" borderId="5" xfId="1" applyNumberFormat="1" applyFont="1" applyFill="1" applyBorder="1" applyAlignment="1">
      <alignment horizontal="center" vertical="top" wrapText="1"/>
    </xf>
    <xf numFmtId="4" fontId="30" fillId="0" borderId="1" xfId="1" applyNumberFormat="1" applyFont="1" applyBorder="1"/>
    <xf numFmtId="0" fontId="30" fillId="0" borderId="0" xfId="1" applyFont="1"/>
    <xf numFmtId="0" fontId="31" fillId="0" borderId="0" xfId="1" applyFont="1" applyAlignment="1">
      <alignment wrapText="1"/>
    </xf>
    <xf numFmtId="0" fontId="31" fillId="0" borderId="0" xfId="1" applyFont="1"/>
    <xf numFmtId="0" fontId="34" fillId="0" borderId="9" xfId="1" applyFont="1" applyBorder="1" applyAlignment="1">
      <alignment horizontal="center" vertical="top" wrapText="1"/>
    </xf>
    <xf numFmtId="0" fontId="31" fillId="11" borderId="6" xfId="1" applyFont="1" applyFill="1" applyBorder="1" applyAlignment="1">
      <alignment wrapText="1"/>
    </xf>
    <xf numFmtId="0" fontId="31" fillId="11" borderId="4" xfId="1" applyFont="1" applyFill="1" applyBorder="1" applyAlignment="1">
      <alignment wrapText="1"/>
    </xf>
    <xf numFmtId="2" fontId="1" fillId="0" borderId="0" xfId="0" applyNumberFormat="1" applyFont="1" applyBorder="1"/>
    <xf numFmtId="4" fontId="31" fillId="0" borderId="0" xfId="1" applyNumberFormat="1" applyFont="1" applyAlignment="1">
      <alignment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2" fontId="2" fillId="16" borderId="5" xfId="1" applyNumberFormat="1" applyFont="1" applyFill="1" applyBorder="1"/>
    <xf numFmtId="4" fontId="31" fillId="0" borderId="5" xfId="1" applyNumberFormat="1" applyFont="1" applyBorder="1" applyAlignment="1">
      <alignment wrapText="1"/>
    </xf>
    <xf numFmtId="0" fontId="1" fillId="0" borderId="3" xfId="1" applyFont="1" applyBorder="1" applyAlignment="1">
      <alignment wrapText="1"/>
    </xf>
    <xf numFmtId="164" fontId="28" fillId="0" borderId="1" xfId="2" applyFont="1" applyBorder="1" applyAlignment="1" applyProtection="1">
      <alignment horizontal="center" vertical="center"/>
      <protection locked="0"/>
    </xf>
    <xf numFmtId="0" fontId="5" fillId="0" borderId="1" xfId="1" applyBorder="1" applyAlignment="1">
      <alignment horizontal="center"/>
    </xf>
    <xf numFmtId="4" fontId="35" fillId="12" borderId="1" xfId="0" applyNumberFormat="1" applyFont="1" applyFill="1" applyBorder="1" applyAlignment="1">
      <alignment horizontal="center" wrapText="1"/>
    </xf>
    <xf numFmtId="4" fontId="1" fillId="13" borderId="1" xfId="1" applyNumberFormat="1" applyFont="1" applyFill="1" applyBorder="1" applyAlignment="1">
      <alignment horizontal="center" vertical="top" wrapText="1"/>
    </xf>
    <xf numFmtId="4" fontId="1" fillId="13" borderId="11" xfId="1" applyNumberFormat="1" applyFont="1" applyFill="1" applyBorder="1" applyAlignment="1">
      <alignment horizontal="center" vertical="top" wrapText="1"/>
    </xf>
    <xf numFmtId="4" fontId="1" fillId="13" borderId="7" xfId="1" applyNumberFormat="1" applyFont="1" applyFill="1" applyBorder="1" applyAlignment="1">
      <alignment horizontal="center" vertical="top" wrapText="1"/>
    </xf>
    <xf numFmtId="4" fontId="1" fillId="13" borderId="5" xfId="1" applyNumberFormat="1" applyFont="1" applyFill="1" applyBorder="1" applyAlignment="1">
      <alignment horizontal="center" vertical="top" wrapText="1"/>
    </xf>
    <xf numFmtId="4" fontId="1" fillId="13" borderId="12" xfId="1" applyNumberFormat="1" applyFont="1" applyFill="1" applyBorder="1" applyAlignment="1">
      <alignment horizontal="center" vertical="top" wrapText="1"/>
    </xf>
    <xf numFmtId="0" fontId="1" fillId="13" borderId="5" xfId="1" applyFont="1" applyFill="1" applyBorder="1" applyAlignment="1">
      <alignment horizontal="center" vertical="top" wrapText="1"/>
    </xf>
    <xf numFmtId="0" fontId="6" fillId="0" borderId="30" xfId="1" applyFont="1" applyBorder="1" applyAlignment="1">
      <alignment horizontal="center" wrapText="1"/>
    </xf>
    <xf numFmtId="0" fontId="8" fillId="0" borderId="34" xfId="1" applyFont="1" applyBorder="1" applyAlignment="1">
      <alignment horizontal="center" vertical="top" wrapText="1"/>
    </xf>
    <xf numFmtId="16" fontId="6" fillId="0" borderId="30" xfId="1" applyNumberFormat="1" applyFont="1" applyBorder="1" applyAlignment="1">
      <alignment horizontal="center" vertical="top" wrapText="1"/>
    </xf>
    <xf numFmtId="16" fontId="6" fillId="0" borderId="34" xfId="1" applyNumberFormat="1" applyFont="1" applyBorder="1" applyAlignment="1">
      <alignment horizontal="center" vertical="top" wrapText="1"/>
    </xf>
    <xf numFmtId="0" fontId="14" fillId="0" borderId="31" xfId="1" applyFont="1" applyBorder="1" applyAlignment="1">
      <alignment horizontal="center" vertical="top" wrapText="1"/>
    </xf>
    <xf numFmtId="0" fontId="14" fillId="0" borderId="32" xfId="1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/>
    </xf>
    <xf numFmtId="0" fontId="14" fillId="0" borderId="25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wrapText="1"/>
    </xf>
    <xf numFmtId="0" fontId="17" fillId="0" borderId="0" xfId="1" applyFont="1" applyAlignment="1">
      <alignment horizontal="center" vertical="center"/>
    </xf>
    <xf numFmtId="0" fontId="6" fillId="0" borderId="29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8" fillId="0" borderId="22" xfId="1" applyFont="1" applyBorder="1" applyAlignment="1">
      <alignment horizontal="center" vertical="top" wrapText="1"/>
    </xf>
    <xf numFmtId="0" fontId="14" fillId="0" borderId="22" xfId="1" applyFont="1" applyBorder="1" applyAlignment="1">
      <alignment horizontal="center" vertical="top" wrapText="1"/>
    </xf>
    <xf numFmtId="0" fontId="14" fillId="0" borderId="34" xfId="1" applyFont="1" applyBorder="1" applyAlignment="1">
      <alignment horizontal="center" vertical="top" wrapText="1"/>
    </xf>
    <xf numFmtId="0" fontId="6" fillId="0" borderId="22" xfId="1" applyFont="1" applyBorder="1" applyAlignment="1">
      <alignment horizontal="center" vertical="top" wrapText="1"/>
    </xf>
    <xf numFmtId="0" fontId="6" fillId="0" borderId="34" xfId="1" applyFont="1" applyBorder="1" applyAlignment="1">
      <alignment horizontal="center" vertical="top" wrapText="1"/>
    </xf>
    <xf numFmtId="0" fontId="16" fillId="0" borderId="24" xfId="1" applyFont="1" applyBorder="1" applyAlignment="1">
      <alignment horizontal="left" vertical="center" wrapText="1"/>
    </xf>
    <xf numFmtId="0" fontId="8" fillId="0" borderId="31" xfId="1" applyFont="1" applyBorder="1" applyAlignment="1">
      <alignment horizontal="center" vertical="top" wrapText="1"/>
    </xf>
    <xf numFmtId="0" fontId="8" fillId="0" borderId="32" xfId="1" applyFont="1" applyBorder="1" applyAlignment="1">
      <alignment horizontal="center" vertical="top" wrapText="1"/>
    </xf>
    <xf numFmtId="0" fontId="8" fillId="0" borderId="33" xfId="1" applyFont="1" applyBorder="1" applyAlignment="1">
      <alignment horizontal="center" vertical="top" wrapText="1"/>
    </xf>
    <xf numFmtId="0" fontId="8" fillId="0" borderId="24" xfId="1" applyFont="1" applyBorder="1" applyAlignment="1">
      <alignment horizontal="center" wrapText="1"/>
    </xf>
    <xf numFmtId="0" fontId="6" fillId="0" borderId="31" xfId="1" applyFont="1" applyBorder="1" applyAlignment="1">
      <alignment horizontal="center" vertical="top" wrapText="1"/>
    </xf>
    <xf numFmtId="0" fontId="6" fillId="0" borderId="32" xfId="1" applyFont="1" applyBorder="1" applyAlignment="1">
      <alignment horizontal="center" vertical="top" wrapText="1"/>
    </xf>
    <xf numFmtId="0" fontId="6" fillId="0" borderId="32" xfId="1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6" fillId="0" borderId="23" xfId="1" applyFont="1" applyBorder="1" applyAlignment="1">
      <alignment horizontal="center" vertical="top" wrapText="1"/>
    </xf>
    <xf numFmtId="0" fontId="6" fillId="0" borderId="40" xfId="1" applyFont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6" fillId="0" borderId="0" xfId="1" applyFont="1" applyBorder="1" applyAlignment="1">
      <alignment horizontal="center" wrapText="1"/>
    </xf>
    <xf numFmtId="4" fontId="1" fillId="7" borderId="26" xfId="1" applyNumberFormat="1" applyFont="1" applyFill="1" applyBorder="1" applyAlignment="1">
      <alignment horizontal="center" wrapText="1"/>
    </xf>
    <xf numFmtId="4" fontId="1" fillId="7" borderId="35" xfId="1" applyNumberFormat="1" applyFont="1" applyFill="1" applyBorder="1" applyAlignment="1">
      <alignment horizontal="center" wrapText="1"/>
    </xf>
    <xf numFmtId="4" fontId="1" fillId="7" borderId="23" xfId="1" applyNumberFormat="1" applyFont="1" applyFill="1" applyBorder="1" applyAlignment="1">
      <alignment horizontal="center" wrapText="1"/>
    </xf>
    <xf numFmtId="4" fontId="1" fillId="7" borderId="36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33" fillId="0" borderId="0" xfId="1" applyFont="1" applyAlignment="1">
      <alignment horizontal="center" wrapText="1"/>
    </xf>
    <xf numFmtId="0" fontId="31" fillId="0" borderId="37" xfId="1" applyFont="1" applyBorder="1" applyAlignment="1">
      <alignment horizontal="center" vertical="top" wrapText="1"/>
    </xf>
    <xf numFmtId="0" fontId="32" fillId="0" borderId="44" xfId="0" applyFont="1" applyBorder="1"/>
    <xf numFmtId="0" fontId="34" fillId="0" borderId="8" xfId="1" applyFont="1" applyBorder="1" applyAlignment="1">
      <alignment horizontal="center" vertical="top" wrapText="1"/>
    </xf>
    <xf numFmtId="0" fontId="34" fillId="0" borderId="7" xfId="1" applyFont="1" applyBorder="1" applyAlignment="1">
      <alignment horizontal="center" vertical="top" wrapText="1"/>
    </xf>
    <xf numFmtId="0" fontId="31" fillId="0" borderId="26" xfId="1" applyFont="1" applyBorder="1" applyAlignment="1">
      <alignment horizontal="center" wrapText="1"/>
    </xf>
    <xf numFmtId="0" fontId="31" fillId="0" borderId="15" xfId="1" applyFont="1" applyBorder="1" applyAlignment="1">
      <alignment horizontal="center" wrapText="1"/>
    </xf>
    <xf numFmtId="4" fontId="31" fillId="0" borderId="1" xfId="1" applyNumberFormat="1" applyFont="1" applyBorder="1" applyAlignment="1">
      <alignment wrapText="1"/>
    </xf>
    <xf numFmtId="0" fontId="31" fillId="0" borderId="5" xfId="1" applyFont="1" applyBorder="1" applyAlignment="1">
      <alignment wrapText="1"/>
    </xf>
    <xf numFmtId="0" fontId="31" fillId="0" borderId="23" xfId="1" applyFont="1" applyBorder="1" applyAlignment="1">
      <alignment horizontal="center" wrapText="1"/>
    </xf>
    <xf numFmtId="0" fontId="31" fillId="0" borderId="45" xfId="1" applyFont="1" applyBorder="1" applyAlignment="1">
      <alignment horizontal="center" wrapText="1"/>
    </xf>
    <xf numFmtId="4" fontId="31" fillId="0" borderId="3" xfId="1" applyNumberFormat="1" applyFont="1" applyBorder="1" applyAlignment="1">
      <alignment wrapText="1"/>
    </xf>
    <xf numFmtId="0" fontId="31" fillId="0" borderId="2" xfId="1" applyFont="1" applyBorder="1" applyAlignment="1">
      <alignment wrapText="1"/>
    </xf>
    <xf numFmtId="4" fontId="31" fillId="0" borderId="23" xfId="1" applyNumberFormat="1" applyFont="1" applyBorder="1" applyAlignment="1">
      <alignment wrapText="1"/>
    </xf>
    <xf numFmtId="4" fontId="31" fillId="0" borderId="36" xfId="1" applyNumberFormat="1" applyFont="1" applyBorder="1" applyAlignment="1">
      <alignment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1" fillId="0" borderId="1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1" fillId="0" borderId="0" xfId="1" applyFont="1" applyAlignment="1">
      <alignment horizontal="right" wrapText="1"/>
    </xf>
    <xf numFmtId="0" fontId="1" fillId="0" borderId="3" xfId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4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1" fillId="0" borderId="37" xfId="1" applyFont="1" applyBorder="1" applyAlignment="1">
      <alignment horizontal="center" vertical="top" wrapText="1"/>
    </xf>
    <xf numFmtId="0" fontId="0" fillId="0" borderId="44" xfId="0" applyBorder="1"/>
    <xf numFmtId="0" fontId="4" fillId="0" borderId="8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1" fillId="0" borderId="26" xfId="1" applyFont="1" applyBorder="1" applyAlignment="1">
      <alignment horizontal="center" wrapText="1"/>
    </xf>
    <xf numFmtId="0" fontId="1" fillId="0" borderId="15" xfId="1" applyFont="1" applyBorder="1" applyAlignment="1">
      <alignment horizontal="center" wrapText="1"/>
    </xf>
    <xf numFmtId="4" fontId="1" fillId="0" borderId="1" xfId="1" applyNumberFormat="1" applyFont="1" applyBorder="1" applyAlignment="1">
      <alignment wrapText="1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wrapText="1"/>
    </xf>
    <xf numFmtId="0" fontId="6" fillId="0" borderId="0" xfId="1" applyFont="1" applyAlignment="1">
      <alignment horizontal="center" wrapText="1"/>
    </xf>
    <xf numFmtId="0" fontId="2" fillId="0" borderId="39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4" fillId="0" borderId="0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27" xfId="1" applyFont="1" applyBorder="1" applyAlignment="1">
      <alignment horizontal="center" wrapText="1"/>
    </xf>
    <xf numFmtId="0" fontId="6" fillId="0" borderId="27" xfId="1" applyFont="1" applyBorder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13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1" applyFont="1" applyAlignment="1">
      <alignment horizontal="center" wrapText="1"/>
    </xf>
    <xf numFmtId="0" fontId="5" fillId="0" borderId="0" xfId="1" applyFont="1" applyFill="1" applyAlignment="1">
      <alignment horizontal="center"/>
    </xf>
    <xf numFmtId="0" fontId="5" fillId="14" borderId="0" xfId="1" applyFill="1" applyAlignment="1">
      <alignment horizontal="center"/>
    </xf>
    <xf numFmtId="0" fontId="19" fillId="0" borderId="0" xfId="1" applyFont="1" applyAlignment="1">
      <alignment horizontal="center"/>
    </xf>
    <xf numFmtId="0" fontId="27" fillId="0" borderId="1" xfId="0" applyFont="1" applyBorder="1" applyAlignment="1">
      <alignment horizontal="left" wrapText="1"/>
    </xf>
    <xf numFmtId="0" fontId="27" fillId="0" borderId="13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11</xdr:col>
      <xdr:colOff>314324</xdr:colOff>
      <xdr:row>30</xdr:row>
      <xdr:rowOff>85925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19024" y="-599975"/>
          <a:ext cx="5800925" cy="7000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215~1/AppData/Local/Temp/21%20&#1085;&#1086;&#1074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&#1052;&#1091;&#1085;.%20&#1079;&#1072;&#1076;&#1072;&#1085;&#1080;&#1077;/&#1052;&#1047;%20&#1080;&#1085;&#1090;&#1077;&#1088;&#1085;&#1072;&#1090;%202016%20&#1085;&#1072;%2031%20&#1084;&#1072;&#1088;&#1090;&#1072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н.зад."/>
      <sheetName val="проверка 2017"/>
      <sheetName val="проверка 2018 "/>
      <sheetName val="проверка 2019"/>
      <sheetName val="прил.1+2"/>
      <sheetName val="прил.3"/>
      <sheetName val="прил.4"/>
      <sheetName val="прил.5"/>
      <sheetName val="прил.6"/>
      <sheetName val="свод "/>
    </sheetNames>
    <sheetDataSet>
      <sheetData sheetId="0" refreshError="1"/>
      <sheetData sheetId="1" refreshError="1">
        <row r="17">
          <cell r="H17">
            <v>10007.64</v>
          </cell>
          <cell r="I17">
            <v>36.520000000000003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з"/>
      <sheetName val="свод"/>
      <sheetName val="пр.1+2 "/>
      <sheetName val="пр.3"/>
      <sheetName val="пр.4"/>
      <sheetName val="пр.5"/>
      <sheetName val="пр.6"/>
      <sheetName val="проверка"/>
      <sheetName val="3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M4">
            <v>0</v>
          </cell>
          <cell r="O4">
            <v>0</v>
          </cell>
        </row>
        <row r="29">
          <cell r="O29">
            <v>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8" sqref="P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D1" zoomScale="80" zoomScaleNormal="80" workbookViewId="0">
      <selection activeCell="R27" sqref="R27"/>
    </sheetView>
  </sheetViews>
  <sheetFormatPr defaultRowHeight="12.75" x14ac:dyDescent="0.2"/>
  <cols>
    <col min="1" max="2" width="7.5703125" style="57" customWidth="1"/>
    <col min="3" max="3" width="15.5703125" style="57" customWidth="1"/>
    <col min="4" max="4" width="18.140625" style="57" customWidth="1"/>
    <col min="5" max="5" width="15.140625" style="57" customWidth="1"/>
    <col min="6" max="6" width="8" style="57" customWidth="1"/>
    <col min="7" max="7" width="13.42578125" style="57" bestFit="1" customWidth="1"/>
    <col min="8" max="8" width="15.85546875" style="57" customWidth="1"/>
    <col min="9" max="9" width="13.42578125" style="57" customWidth="1"/>
    <col min="10" max="10" width="10.7109375" style="57" bestFit="1" customWidth="1"/>
    <col min="11" max="13" width="9.140625" style="57"/>
    <col min="14" max="14" width="10.140625" style="57" bestFit="1" customWidth="1"/>
    <col min="15" max="16384" width="9.140625" style="57"/>
  </cols>
  <sheetData>
    <row r="1" spans="1:20" ht="15.75" x14ac:dyDescent="0.2">
      <c r="F1" s="60"/>
      <c r="G1" s="60"/>
      <c r="H1" s="60"/>
      <c r="I1" s="59" t="s">
        <v>147</v>
      </c>
      <c r="J1" s="59"/>
      <c r="K1" s="59"/>
      <c r="L1" s="59"/>
      <c r="M1" s="59"/>
      <c r="N1" s="150"/>
      <c r="O1" s="59"/>
      <c r="P1" s="59"/>
      <c r="Q1" s="150"/>
      <c r="R1" s="150"/>
    </row>
    <row r="2" spans="1:20" ht="18" x14ac:dyDescent="0.25">
      <c r="A2" s="416" t="s">
        <v>142</v>
      </c>
      <c r="B2" s="416"/>
      <c r="C2" s="416"/>
      <c r="D2" s="416"/>
      <c r="E2" s="416"/>
      <c r="F2" s="60"/>
      <c r="G2" s="60"/>
      <c r="H2" s="60"/>
      <c r="I2" s="414" t="s">
        <v>144</v>
      </c>
      <c r="J2" s="414"/>
      <c r="K2" s="414" t="s">
        <v>143</v>
      </c>
      <c r="L2" s="414"/>
      <c r="M2" s="414" t="s">
        <v>145</v>
      </c>
      <c r="N2" s="414"/>
      <c r="O2" s="59"/>
      <c r="R2" s="59" t="s">
        <v>219</v>
      </c>
      <c r="S2" s="59"/>
    </row>
    <row r="3" spans="1:20" x14ac:dyDescent="0.2">
      <c r="F3" s="60"/>
      <c r="G3" s="60"/>
      <c r="H3" s="60"/>
      <c r="I3" s="59" t="s">
        <v>220</v>
      </c>
      <c r="J3" s="57" t="s">
        <v>218</v>
      </c>
      <c r="K3" s="59" t="s">
        <v>220</v>
      </c>
      <c r="L3" s="57" t="s">
        <v>218</v>
      </c>
      <c r="M3" s="59" t="s">
        <v>220</v>
      </c>
      <c r="N3" s="57" t="s">
        <v>218</v>
      </c>
      <c r="O3" s="59" t="s">
        <v>146</v>
      </c>
      <c r="P3" s="59"/>
      <c r="R3" s="162" t="s">
        <v>148</v>
      </c>
      <c r="S3" s="162" t="s">
        <v>143</v>
      </c>
      <c r="T3" s="162" t="s">
        <v>145</v>
      </c>
    </row>
    <row r="4" spans="1:20" ht="18.75" x14ac:dyDescent="0.3">
      <c r="E4" s="57">
        <f>I4+J4+K4+L4+M4+N4+O4</f>
        <v>779</v>
      </c>
      <c r="F4" s="60"/>
      <c r="G4" s="60" t="s">
        <v>139</v>
      </c>
      <c r="H4" s="60"/>
      <c r="I4" s="148">
        <v>382</v>
      </c>
      <c r="J4" s="148">
        <v>0</v>
      </c>
      <c r="K4" s="148">
        <v>347</v>
      </c>
      <c r="L4" s="148">
        <v>0</v>
      </c>
      <c r="M4" s="148">
        <v>50</v>
      </c>
      <c r="N4" s="148">
        <v>0</v>
      </c>
      <c r="O4" s="148">
        <v>0</v>
      </c>
      <c r="P4" s="161"/>
      <c r="Q4" s="59"/>
      <c r="R4" s="165">
        <v>0</v>
      </c>
      <c r="S4" s="165">
        <v>0</v>
      </c>
      <c r="T4" s="165">
        <v>0</v>
      </c>
    </row>
    <row r="5" spans="1:20" x14ac:dyDescent="0.2">
      <c r="A5" s="65" t="s">
        <v>22</v>
      </c>
      <c r="B5" s="65" t="s">
        <v>141</v>
      </c>
      <c r="C5" s="65" t="s">
        <v>140</v>
      </c>
      <c r="D5" s="65" t="s">
        <v>2</v>
      </c>
      <c r="E5" s="65" t="s">
        <v>139</v>
      </c>
      <c r="F5" s="60"/>
      <c r="G5" s="60"/>
      <c r="H5" s="60"/>
      <c r="I5" s="242"/>
      <c r="J5" s="242"/>
      <c r="K5" s="242"/>
      <c r="L5" s="242"/>
      <c r="M5" s="242"/>
      <c r="N5" s="242"/>
      <c r="O5" s="242"/>
      <c r="P5" s="59"/>
      <c r="Q5" s="59"/>
      <c r="R5" s="162"/>
      <c r="S5" s="162"/>
      <c r="T5" s="162"/>
    </row>
    <row r="6" spans="1:20" s="153" customFormat="1" x14ac:dyDescent="0.2">
      <c r="A6" s="159"/>
      <c r="B6" s="159"/>
      <c r="C6" s="160">
        <f>SUM(C14:C27)</f>
        <v>24706449</v>
      </c>
      <c r="D6" s="160"/>
      <c r="E6" s="160"/>
      <c r="F6" s="155"/>
      <c r="G6" s="155"/>
      <c r="H6" s="155"/>
      <c r="I6" s="165">
        <f>'проверка 2018'!I6</f>
        <v>0</v>
      </c>
      <c r="J6" s="165">
        <f>'проверка 2018'!J6</f>
        <v>0</v>
      </c>
      <c r="K6" s="165">
        <f>'проверка 2018'!K6</f>
        <v>1</v>
      </c>
      <c r="L6" s="165">
        <f>'проверка 2018'!L6</f>
        <v>0</v>
      </c>
      <c r="M6" s="165">
        <f>'проверка 2018'!M6</f>
        <v>0</v>
      </c>
      <c r="N6" s="165">
        <f>'проверка 2018'!N6</f>
        <v>0</v>
      </c>
      <c r="O6" s="165">
        <f>'проверка 2018'!O6</f>
        <v>0</v>
      </c>
      <c r="P6" s="59" t="s">
        <v>154</v>
      </c>
      <c r="Q6" s="59"/>
      <c r="R6" s="162"/>
      <c r="S6" s="162"/>
      <c r="T6" s="162"/>
    </row>
    <row r="7" spans="1:20" s="153" customFormat="1" x14ac:dyDescent="0.2">
      <c r="A7" s="159">
        <v>211</v>
      </c>
      <c r="B7" s="158" t="s">
        <v>138</v>
      </c>
      <c r="C7" s="157">
        <v>16953261</v>
      </c>
      <c r="D7" s="156"/>
      <c r="E7" s="151"/>
      <c r="F7" s="60"/>
      <c r="G7" s="60"/>
      <c r="H7" s="60"/>
      <c r="I7" s="162">
        <v>2771.1</v>
      </c>
      <c r="J7" s="162"/>
      <c r="K7" s="162">
        <v>3576.45</v>
      </c>
      <c r="L7" s="162"/>
      <c r="M7" s="162">
        <v>3755.42</v>
      </c>
      <c r="N7" s="162"/>
      <c r="O7" s="162"/>
      <c r="P7" s="59" t="s">
        <v>153</v>
      </c>
      <c r="Q7" s="59"/>
      <c r="R7" s="162"/>
      <c r="S7" s="162"/>
      <c r="T7" s="162">
        <v>7</v>
      </c>
    </row>
    <row r="8" spans="1:20" s="153" customFormat="1" x14ac:dyDescent="0.2">
      <c r="A8" s="159">
        <v>213</v>
      </c>
      <c r="B8" s="158" t="s">
        <v>138</v>
      </c>
      <c r="C8" s="157">
        <v>5119885</v>
      </c>
      <c r="D8" s="156"/>
      <c r="E8" s="151"/>
      <c r="F8" s="154"/>
      <c r="G8" s="154"/>
      <c r="H8" s="154">
        <f>I8*$I$4+J8*$J$4+K8*$K$4+L8*$L$4+M8*$M$4+N8*$N$4+O8*$O$4</f>
        <v>15722799.100000001</v>
      </c>
      <c r="I8" s="122">
        <v>16238.4</v>
      </c>
      <c r="J8" s="122">
        <v>37320</v>
      </c>
      <c r="K8" s="122">
        <v>23534.9</v>
      </c>
      <c r="L8" s="122">
        <v>61758.400000000001</v>
      </c>
      <c r="M8" s="122">
        <v>27062.400000000001</v>
      </c>
      <c r="N8" s="122">
        <v>97628</v>
      </c>
      <c r="O8" s="122">
        <f>IF(O4=0,0,ROUND((R8*R4+S8*S4+T8*T4)/O4,0))</f>
        <v>0</v>
      </c>
      <c r="P8" s="59" t="s">
        <v>151</v>
      </c>
      <c r="Q8" s="59"/>
      <c r="R8" s="162">
        <v>37320</v>
      </c>
      <c r="S8" s="162">
        <v>61758.400000000001</v>
      </c>
      <c r="T8" s="162">
        <v>97628</v>
      </c>
    </row>
    <row r="9" spans="1:20" s="153" customFormat="1" x14ac:dyDescent="0.2">
      <c r="A9" s="159">
        <v>221</v>
      </c>
      <c r="B9" s="158" t="s">
        <v>138</v>
      </c>
      <c r="C9" s="157">
        <v>68917</v>
      </c>
      <c r="D9" s="156"/>
      <c r="E9" s="151"/>
      <c r="F9" s="154"/>
      <c r="G9" s="154"/>
      <c r="H9" s="154">
        <f>I9*$I$4+J9*$J$4+K9*$K$4+L9*$L$4+M9*$M$4+N9*$N$4+O9*$O$4</f>
        <v>5892360.2000000011</v>
      </c>
      <c r="I9" s="122">
        <v>6045.4000000000005</v>
      </c>
      <c r="J9" s="122">
        <v>14160.8</v>
      </c>
      <c r="K9" s="122">
        <v>8854.2000000000007</v>
      </c>
      <c r="L9" s="122">
        <v>23568.399999999998</v>
      </c>
      <c r="M9" s="122">
        <v>10212.200000000001</v>
      </c>
      <c r="N9" s="122">
        <v>37376.5</v>
      </c>
      <c r="O9" s="122">
        <f>IF(O4=0,0,ROUND((R9*R4+S9*S4+T9*T4)/O4,0))</f>
        <v>0</v>
      </c>
      <c r="P9" s="59" t="s">
        <v>152</v>
      </c>
      <c r="Q9" s="59"/>
      <c r="R9" s="162">
        <v>14160.8</v>
      </c>
      <c r="S9" s="162">
        <v>23568.399999999998</v>
      </c>
      <c r="T9" s="162">
        <v>37376.5</v>
      </c>
    </row>
    <row r="10" spans="1:20" s="153" customFormat="1" x14ac:dyDescent="0.2">
      <c r="A10" s="159">
        <v>226</v>
      </c>
      <c r="B10" s="158" t="s">
        <v>138</v>
      </c>
      <c r="C10" s="163">
        <v>29095</v>
      </c>
      <c r="D10" s="156"/>
      <c r="E10" s="151"/>
      <c r="F10" s="154">
        <f>ROUND(C10/$E$4,2)</f>
        <v>37.35</v>
      </c>
      <c r="G10" s="154"/>
      <c r="H10" s="154"/>
      <c r="I10" s="57">
        <f>$F$10</f>
        <v>37.35</v>
      </c>
      <c r="J10" s="57">
        <f t="shared" ref="J10:O10" si="0">$F$10</f>
        <v>37.35</v>
      </c>
      <c r="K10" s="57">
        <f t="shared" si="0"/>
        <v>37.35</v>
      </c>
      <c r="L10" s="57">
        <f t="shared" si="0"/>
        <v>37.35</v>
      </c>
      <c r="M10" s="57">
        <f t="shared" si="0"/>
        <v>37.35</v>
      </c>
      <c r="N10" s="57">
        <f t="shared" si="0"/>
        <v>37.35</v>
      </c>
      <c r="O10" s="57">
        <f t="shared" si="0"/>
        <v>37.35</v>
      </c>
      <c r="P10" s="59"/>
      <c r="Q10" s="59"/>
      <c r="R10" s="59"/>
      <c r="S10" s="59"/>
      <c r="T10" s="59"/>
    </row>
    <row r="11" spans="1:20" s="153" customFormat="1" x14ac:dyDescent="0.2">
      <c r="A11" s="159">
        <v>226</v>
      </c>
      <c r="B11" s="158" t="s">
        <v>138</v>
      </c>
      <c r="C11" s="157">
        <v>36000</v>
      </c>
      <c r="D11" s="156"/>
      <c r="E11" s="151"/>
      <c r="F11" s="154"/>
      <c r="G11" s="154"/>
      <c r="H11" s="154"/>
      <c r="I11" s="241"/>
      <c r="J11" s="241"/>
      <c r="K11" s="241"/>
      <c r="L11" s="241"/>
      <c r="M11" s="241"/>
      <c r="N11" s="241"/>
      <c r="O11" s="241"/>
      <c r="P11" s="59"/>
      <c r="Q11" s="59"/>
      <c r="R11" s="59"/>
      <c r="S11" s="59"/>
      <c r="T11" s="59"/>
    </row>
    <row r="12" spans="1:20" s="153" customFormat="1" x14ac:dyDescent="0.2">
      <c r="A12" s="159">
        <v>310</v>
      </c>
      <c r="B12" s="158" t="s">
        <v>138</v>
      </c>
      <c r="C12" s="157">
        <v>216874</v>
      </c>
      <c r="D12" s="156"/>
      <c r="E12" s="151"/>
      <c r="F12" s="154"/>
      <c r="G12" s="155"/>
      <c r="N12" s="57"/>
      <c r="O12" s="59"/>
      <c r="P12" s="59"/>
      <c r="Q12" s="59"/>
      <c r="R12" s="59"/>
    </row>
    <row r="13" spans="1:20" s="153" customFormat="1" x14ac:dyDescent="0.2">
      <c r="A13" s="159">
        <v>340</v>
      </c>
      <c r="B13" s="158" t="s">
        <v>138</v>
      </c>
      <c r="C13" s="157">
        <v>94729</v>
      </c>
      <c r="D13" s="156"/>
      <c r="E13" s="151"/>
      <c r="F13" s="154"/>
      <c r="G13" s="154"/>
    </row>
    <row r="14" spans="1:20" s="153" customFormat="1" ht="13.5" thickBot="1" x14ac:dyDescent="0.25">
      <c r="A14" s="159"/>
      <c r="B14" s="158"/>
      <c r="C14" s="166">
        <f>SUM(C7:C13)</f>
        <v>22518761</v>
      </c>
      <c r="D14" s="166"/>
      <c r="E14" s="166"/>
      <c r="F14" s="154"/>
      <c r="G14" s="155">
        <f>H14-C14</f>
        <v>-870928.48000000045</v>
      </c>
      <c r="H14" s="154">
        <f>I14*$I$4+J4*$J$14+K14*$K$4+L14*$L$4+M14*$M$4+N14*$N$4+O14*$O$4</f>
        <v>21647832.52</v>
      </c>
      <c r="I14" s="136">
        <f>ROUND(IF(I4=0,0,I8+I9+I10)+IF(I6=0,0,I7/I4),2)</f>
        <v>22321.15</v>
      </c>
      <c r="J14" s="136">
        <f t="shared" ref="J14:O14" si="1">ROUND(IF(J4=0,0,J8+J9+J10)+IF(J6=0,0,J7/J4),2)</f>
        <v>0</v>
      </c>
      <c r="K14" s="136">
        <f>ROUND(IF(K4=0,0,K8+K9+K10)+IF(K6=0,0,K7/K4),2)</f>
        <v>32436.76</v>
      </c>
      <c r="L14" s="136">
        <f t="shared" si="1"/>
        <v>0</v>
      </c>
      <c r="M14" s="136">
        <f t="shared" si="1"/>
        <v>37311.949999999997</v>
      </c>
      <c r="N14" s="136">
        <f t="shared" si="1"/>
        <v>0</v>
      </c>
      <c r="O14" s="136">
        <f t="shared" si="1"/>
        <v>0</v>
      </c>
      <c r="P14" s="240"/>
    </row>
    <row r="15" spans="1:20" s="153" customFormat="1" x14ac:dyDescent="0.2">
      <c r="A15" s="159"/>
      <c r="B15" s="158"/>
      <c r="C15" s="166"/>
      <c r="D15" s="166"/>
      <c r="E15" s="166"/>
      <c r="F15" s="154"/>
      <c r="G15" s="155"/>
      <c r="H15" s="154" t="s">
        <v>156</v>
      </c>
      <c r="I15" s="153">
        <f>-ROUND($G$14/$E$4,2)</f>
        <v>1118.01</v>
      </c>
      <c r="J15" s="153">
        <f t="shared" ref="J15:O15" si="2">-ROUND($G$14/$E$4,2)</f>
        <v>1118.01</v>
      </c>
      <c r="K15" s="153">
        <f t="shared" si="2"/>
        <v>1118.01</v>
      </c>
      <c r="L15" s="153">
        <f t="shared" si="2"/>
        <v>1118.01</v>
      </c>
      <c r="M15" s="153">
        <f t="shared" si="2"/>
        <v>1118.01</v>
      </c>
      <c r="N15" s="153">
        <f t="shared" si="2"/>
        <v>1118.01</v>
      </c>
      <c r="O15" s="153">
        <f t="shared" si="2"/>
        <v>1118.01</v>
      </c>
    </row>
    <row r="16" spans="1:20" s="153" customFormat="1" x14ac:dyDescent="0.2">
      <c r="A16" s="159"/>
      <c r="B16" s="158"/>
      <c r="C16" s="166"/>
      <c r="D16" s="166"/>
      <c r="E16" s="166"/>
      <c r="F16" s="154"/>
      <c r="G16" s="155">
        <f>C14-H16</f>
        <v>-1.3099999986588955</v>
      </c>
      <c r="H16" s="154">
        <f>I16*$I$4+J16*$J$4+K16*$K$4+L16*$L$4+M16*$M$4+N16*$N$4+O16*$O$4</f>
        <v>22518762.309999999</v>
      </c>
      <c r="I16" s="153">
        <f>I14+I15</f>
        <v>23439.16</v>
      </c>
      <c r="J16" s="153">
        <f>J14+J15</f>
        <v>1118.01</v>
      </c>
      <c r="K16" s="153">
        <f t="shared" ref="K16:O16" si="3">K14+K15</f>
        <v>33554.769999999997</v>
      </c>
      <c r="L16" s="153">
        <f t="shared" si="3"/>
        <v>1118.01</v>
      </c>
      <c r="M16" s="153">
        <f t="shared" si="3"/>
        <v>38429.96</v>
      </c>
      <c r="N16" s="153">
        <f t="shared" si="3"/>
        <v>1118.01</v>
      </c>
      <c r="O16" s="153">
        <f t="shared" si="3"/>
        <v>1118.01</v>
      </c>
    </row>
    <row r="17" spans="1:21" x14ac:dyDescent="0.2">
      <c r="A17" s="65">
        <v>211</v>
      </c>
      <c r="B17" s="65">
        <v>901</v>
      </c>
      <c r="C17" s="152"/>
      <c r="D17" s="151"/>
      <c r="E17" s="151"/>
      <c r="F17" s="154">
        <f>ROUND(C17/$E$4,2)</f>
        <v>0</v>
      </c>
      <c r="G17" s="155">
        <f>H17-C17</f>
        <v>0</v>
      </c>
      <c r="H17" s="154">
        <f t="shared" ref="H17:H27" si="4">I17*$I$4+J17*$J$4+K17*$K$4+L17*$L$4+M17*$M$4+N17*$N$4+O17*$O$4</f>
        <v>0</v>
      </c>
      <c r="I17" s="57">
        <f>IF($I$4=0,0,F17)</f>
        <v>0</v>
      </c>
      <c r="J17" s="57">
        <f>IF($J$4=0,0,F17)</f>
        <v>0</v>
      </c>
      <c r="K17" s="57">
        <f>IF($K$4=0,0,F17)</f>
        <v>0</v>
      </c>
      <c r="L17" s="57">
        <f>IF($L$4=0,0,F17)</f>
        <v>0</v>
      </c>
      <c r="M17" s="57">
        <f>IF($M$4=0,0,F17)</f>
        <v>0</v>
      </c>
      <c r="N17" s="57">
        <f>IF($N$4=0,0,F17)</f>
        <v>0</v>
      </c>
      <c r="O17" s="57">
        <f>IF($O$4=0,0,F17)</f>
        <v>0</v>
      </c>
      <c r="R17" s="59"/>
      <c r="S17" s="59"/>
      <c r="T17" s="59"/>
      <c r="U17" s="59"/>
    </row>
    <row r="18" spans="1:21" x14ac:dyDescent="0.2">
      <c r="A18" s="65">
        <v>212</v>
      </c>
      <c r="B18" s="65">
        <v>901</v>
      </c>
      <c r="C18" s="152">
        <v>600</v>
      </c>
      <c r="D18" s="151"/>
      <c r="E18" s="151"/>
      <c r="F18" s="154">
        <f t="shared" ref="F18:F27" si="5">ROUND(C18/$E$4,2)</f>
        <v>0.77</v>
      </c>
      <c r="G18" s="155">
        <f t="shared" ref="G18:G27" si="6">H18-C18</f>
        <v>-0.17000000000007276</v>
      </c>
      <c r="H18" s="154">
        <f t="shared" si="4"/>
        <v>599.82999999999993</v>
      </c>
      <c r="I18" s="57">
        <f t="shared" ref="I18:I27" si="7">IF($I$4=0,0,F18)</f>
        <v>0.77</v>
      </c>
      <c r="J18" s="57">
        <f t="shared" ref="J18:J27" si="8">IF($J$4=0,0,F18)</f>
        <v>0</v>
      </c>
      <c r="K18" s="57">
        <f t="shared" ref="K18:K27" si="9">IF($K$4=0,0,I18)</f>
        <v>0.77</v>
      </c>
      <c r="L18" s="57">
        <f t="shared" ref="L18:L27" si="10">IF($L$4=0,0,F18)</f>
        <v>0</v>
      </c>
      <c r="M18" s="57">
        <f t="shared" ref="M18:M27" si="11">IF($M$4=0,0,F18)</f>
        <v>0.77</v>
      </c>
      <c r="N18" s="57">
        <f t="shared" ref="N18:N27" si="12">IF($N$4=0,0,F18)</f>
        <v>0</v>
      </c>
      <c r="O18" s="57">
        <f t="shared" ref="O18:O27" si="13">IF($O$4=0,0,F18)</f>
        <v>0</v>
      </c>
      <c r="R18" s="59"/>
      <c r="S18" s="59"/>
      <c r="T18" s="59"/>
      <c r="U18" s="59"/>
    </row>
    <row r="19" spans="1:21" x14ac:dyDescent="0.2">
      <c r="A19" s="65">
        <v>213</v>
      </c>
      <c r="B19" s="65">
        <v>901</v>
      </c>
      <c r="C19" s="152"/>
      <c r="D19" s="151"/>
      <c r="E19" s="151"/>
      <c r="F19" s="154">
        <f t="shared" si="5"/>
        <v>0</v>
      </c>
      <c r="G19" s="155">
        <f t="shared" si="6"/>
        <v>0</v>
      </c>
      <c r="H19" s="154">
        <f t="shared" si="4"/>
        <v>0</v>
      </c>
      <c r="I19" s="57">
        <f t="shared" si="7"/>
        <v>0</v>
      </c>
      <c r="J19" s="57">
        <f t="shared" si="8"/>
        <v>0</v>
      </c>
      <c r="K19" s="57">
        <f t="shared" si="9"/>
        <v>0</v>
      </c>
      <c r="L19" s="57">
        <f t="shared" si="10"/>
        <v>0</v>
      </c>
      <c r="M19" s="57">
        <f t="shared" si="11"/>
        <v>0</v>
      </c>
      <c r="N19" s="57">
        <f t="shared" si="12"/>
        <v>0</v>
      </c>
      <c r="O19" s="57">
        <f t="shared" si="13"/>
        <v>0</v>
      </c>
    </row>
    <row r="20" spans="1:21" x14ac:dyDescent="0.2">
      <c r="A20" s="65">
        <v>221</v>
      </c>
      <c r="B20" s="65">
        <v>901</v>
      </c>
      <c r="C20" s="152">
        <v>21441</v>
      </c>
      <c r="D20" s="151"/>
      <c r="E20" s="151"/>
      <c r="F20" s="154">
        <f t="shared" si="5"/>
        <v>27.52</v>
      </c>
      <c r="G20" s="155">
        <f t="shared" si="6"/>
        <v>-2.9199999999982538</v>
      </c>
      <c r="H20" s="154">
        <f t="shared" si="4"/>
        <v>21438.080000000002</v>
      </c>
      <c r="I20" s="57">
        <f t="shared" si="7"/>
        <v>27.52</v>
      </c>
      <c r="J20" s="57">
        <f t="shared" si="8"/>
        <v>0</v>
      </c>
      <c r="K20" s="57">
        <f t="shared" si="9"/>
        <v>27.52</v>
      </c>
      <c r="L20" s="57">
        <f t="shared" si="10"/>
        <v>0</v>
      </c>
      <c r="M20" s="57">
        <f t="shared" si="11"/>
        <v>27.52</v>
      </c>
      <c r="N20" s="57">
        <f t="shared" si="12"/>
        <v>0</v>
      </c>
      <c r="O20" s="57">
        <f t="shared" si="13"/>
        <v>0</v>
      </c>
    </row>
    <row r="21" spans="1:21" x14ac:dyDescent="0.2">
      <c r="A21" s="65">
        <v>222</v>
      </c>
      <c r="B21" s="65">
        <v>901</v>
      </c>
      <c r="C21" s="152"/>
      <c r="D21" s="151"/>
      <c r="E21" s="151"/>
      <c r="F21" s="154">
        <f t="shared" si="5"/>
        <v>0</v>
      </c>
      <c r="G21" s="155">
        <f t="shared" si="6"/>
        <v>0</v>
      </c>
      <c r="H21" s="154">
        <f t="shared" si="4"/>
        <v>0</v>
      </c>
      <c r="I21" s="57">
        <f t="shared" si="7"/>
        <v>0</v>
      </c>
      <c r="J21" s="57">
        <f t="shared" si="8"/>
        <v>0</v>
      </c>
      <c r="K21" s="57">
        <f t="shared" si="9"/>
        <v>0</v>
      </c>
      <c r="L21" s="57">
        <f t="shared" si="10"/>
        <v>0</v>
      </c>
      <c r="M21" s="57">
        <f t="shared" si="11"/>
        <v>0</v>
      </c>
      <c r="N21" s="57">
        <f t="shared" si="12"/>
        <v>0</v>
      </c>
      <c r="O21" s="57">
        <f t="shared" si="13"/>
        <v>0</v>
      </c>
    </row>
    <row r="22" spans="1:21" x14ac:dyDescent="0.2">
      <c r="A22" s="65">
        <v>223</v>
      </c>
      <c r="B22" s="65">
        <v>901</v>
      </c>
      <c r="C22" s="152">
        <v>1142915</v>
      </c>
      <c r="D22" s="151"/>
      <c r="E22" s="151"/>
      <c r="F22" s="154">
        <f t="shared" si="5"/>
        <v>1467.16</v>
      </c>
      <c r="G22" s="155">
        <f t="shared" si="6"/>
        <v>2.6400000001303852</v>
      </c>
      <c r="H22" s="154">
        <f t="shared" si="4"/>
        <v>1142917.6400000001</v>
      </c>
      <c r="I22" s="57">
        <f t="shared" si="7"/>
        <v>1467.16</v>
      </c>
      <c r="J22" s="57">
        <f t="shared" si="8"/>
        <v>0</v>
      </c>
      <c r="K22" s="57">
        <f t="shared" si="9"/>
        <v>1467.16</v>
      </c>
      <c r="L22" s="57">
        <f t="shared" si="10"/>
        <v>0</v>
      </c>
      <c r="M22" s="57">
        <f t="shared" si="11"/>
        <v>1467.16</v>
      </c>
      <c r="N22" s="57">
        <f t="shared" si="12"/>
        <v>0</v>
      </c>
      <c r="O22" s="57">
        <f t="shared" si="13"/>
        <v>0</v>
      </c>
    </row>
    <row r="23" spans="1:21" x14ac:dyDescent="0.2">
      <c r="A23" s="65">
        <v>224</v>
      </c>
      <c r="B23" s="65">
        <v>901</v>
      </c>
      <c r="C23" s="152"/>
      <c r="D23" s="151"/>
      <c r="E23" s="151"/>
      <c r="F23" s="154">
        <f t="shared" si="5"/>
        <v>0</v>
      </c>
      <c r="G23" s="155">
        <f t="shared" si="6"/>
        <v>0</v>
      </c>
      <c r="H23" s="154">
        <f t="shared" si="4"/>
        <v>0</v>
      </c>
      <c r="I23" s="57">
        <f t="shared" si="7"/>
        <v>0</v>
      </c>
      <c r="J23" s="57">
        <f t="shared" si="8"/>
        <v>0</v>
      </c>
      <c r="K23" s="57">
        <f t="shared" si="9"/>
        <v>0</v>
      </c>
      <c r="L23" s="57">
        <f t="shared" si="10"/>
        <v>0</v>
      </c>
      <c r="M23" s="57">
        <f t="shared" si="11"/>
        <v>0</v>
      </c>
      <c r="N23" s="57">
        <f t="shared" si="12"/>
        <v>0</v>
      </c>
      <c r="O23" s="57">
        <f t="shared" si="13"/>
        <v>0</v>
      </c>
    </row>
    <row r="24" spans="1:21" x14ac:dyDescent="0.2">
      <c r="A24" s="65">
        <v>225</v>
      </c>
      <c r="B24" s="65">
        <v>901</v>
      </c>
      <c r="C24" s="152">
        <v>159737</v>
      </c>
      <c r="D24" s="151"/>
      <c r="E24" s="151"/>
      <c r="F24" s="154">
        <f t="shared" si="5"/>
        <v>205.05</v>
      </c>
      <c r="G24" s="155">
        <f t="shared" si="6"/>
        <v>-3.0499999999883585</v>
      </c>
      <c r="H24" s="154">
        <f t="shared" si="4"/>
        <v>159733.95000000001</v>
      </c>
      <c r="I24" s="57">
        <f t="shared" si="7"/>
        <v>205.05</v>
      </c>
      <c r="J24" s="57">
        <f t="shared" si="8"/>
        <v>0</v>
      </c>
      <c r="K24" s="57">
        <f t="shared" si="9"/>
        <v>205.05</v>
      </c>
      <c r="L24" s="57">
        <f t="shared" si="10"/>
        <v>0</v>
      </c>
      <c r="M24" s="57">
        <f t="shared" si="11"/>
        <v>205.05</v>
      </c>
      <c r="N24" s="57">
        <f t="shared" si="12"/>
        <v>0</v>
      </c>
      <c r="O24" s="57">
        <f t="shared" si="13"/>
        <v>0</v>
      </c>
    </row>
    <row r="25" spans="1:21" x14ac:dyDescent="0.2">
      <c r="A25" s="65">
        <v>226</v>
      </c>
      <c r="B25" s="65">
        <v>901</v>
      </c>
      <c r="C25" s="152">
        <v>111968</v>
      </c>
      <c r="D25" s="151"/>
      <c r="E25" s="151"/>
      <c r="F25" s="154">
        <f t="shared" si="5"/>
        <v>143.72999999999999</v>
      </c>
      <c r="G25" s="155">
        <f t="shared" si="6"/>
        <v>-2.3300000000162981</v>
      </c>
      <c r="H25" s="154">
        <f t="shared" si="4"/>
        <v>111965.66999999998</v>
      </c>
      <c r="I25" s="57">
        <f t="shared" si="7"/>
        <v>143.72999999999999</v>
      </c>
      <c r="J25" s="57">
        <f t="shared" si="8"/>
        <v>0</v>
      </c>
      <c r="K25" s="57">
        <f t="shared" si="9"/>
        <v>143.72999999999999</v>
      </c>
      <c r="L25" s="57">
        <f t="shared" si="10"/>
        <v>0</v>
      </c>
      <c r="M25" s="57">
        <f t="shared" si="11"/>
        <v>143.72999999999999</v>
      </c>
      <c r="N25" s="57">
        <f t="shared" si="12"/>
        <v>0</v>
      </c>
      <c r="O25" s="57">
        <f t="shared" si="13"/>
        <v>0</v>
      </c>
    </row>
    <row r="26" spans="1:21" x14ac:dyDescent="0.2">
      <c r="A26" s="65">
        <v>290</v>
      </c>
      <c r="B26" s="65">
        <v>901</v>
      </c>
      <c r="C26" s="152">
        <v>751027</v>
      </c>
      <c r="D26" s="151"/>
      <c r="E26" s="151"/>
      <c r="F26" s="154">
        <f>ROUND(C26/$E$4,2)</f>
        <v>964.09</v>
      </c>
      <c r="G26" s="155">
        <f t="shared" si="6"/>
        <v>-0.88999999989755452</v>
      </c>
      <c r="H26" s="154">
        <f t="shared" si="4"/>
        <v>751026.1100000001</v>
      </c>
      <c r="I26" s="57">
        <f t="shared" si="7"/>
        <v>964.09</v>
      </c>
      <c r="J26" s="57">
        <f t="shared" si="8"/>
        <v>0</v>
      </c>
      <c r="K26" s="57">
        <f t="shared" si="9"/>
        <v>964.09</v>
      </c>
      <c r="L26" s="57">
        <f t="shared" si="10"/>
        <v>0</v>
      </c>
      <c r="M26" s="57">
        <f t="shared" si="11"/>
        <v>964.09</v>
      </c>
      <c r="N26" s="57">
        <f t="shared" si="12"/>
        <v>0</v>
      </c>
      <c r="O26" s="57">
        <f t="shared" si="13"/>
        <v>0</v>
      </c>
    </row>
    <row r="27" spans="1:21" x14ac:dyDescent="0.2">
      <c r="A27" s="65">
        <v>340</v>
      </c>
      <c r="B27" s="65">
        <v>901</v>
      </c>
      <c r="C27" s="152"/>
      <c r="D27" s="151"/>
      <c r="E27" s="151"/>
      <c r="F27" s="154">
        <f t="shared" si="5"/>
        <v>0</v>
      </c>
      <c r="G27" s="155">
        <f t="shared" si="6"/>
        <v>0</v>
      </c>
      <c r="H27" s="154">
        <f t="shared" si="4"/>
        <v>0</v>
      </c>
      <c r="I27" s="57">
        <f t="shared" si="7"/>
        <v>0</v>
      </c>
      <c r="J27" s="57">
        <f t="shared" si="8"/>
        <v>0</v>
      </c>
      <c r="K27" s="57">
        <f t="shared" si="9"/>
        <v>0</v>
      </c>
      <c r="L27" s="57">
        <f t="shared" si="10"/>
        <v>0</v>
      </c>
      <c r="M27" s="57">
        <f t="shared" si="11"/>
        <v>0</v>
      </c>
      <c r="N27" s="57">
        <f t="shared" si="12"/>
        <v>0</v>
      </c>
      <c r="O27" s="57">
        <f t="shared" si="13"/>
        <v>0</v>
      </c>
    </row>
    <row r="28" spans="1:21" x14ac:dyDescent="0.2">
      <c r="F28" s="60"/>
      <c r="G28" s="164">
        <f>G16+G17+G18+G19+G20+G21+G22+G23+G24+G25+G26+G27</f>
        <v>-8.029999998429048</v>
      </c>
      <c r="H28" s="153">
        <f>H16+H17+H18+H19+H20+H21+H22+H23+H24+H25+H26+H27</f>
        <v>24706443.589999996</v>
      </c>
      <c r="I28" s="153">
        <f>IF(I4=0,0,I16+I17+I18+I19+I20+I21+I22+I23+I24+I25+I26+I27)</f>
        <v>26247.48</v>
      </c>
      <c r="J28" s="153">
        <f t="shared" ref="J28:O28" si="14">IF(J4=0,0,J16+J17+J18+J19+J20+J21+J22+J23+J24+J25+J26+J27)</f>
        <v>0</v>
      </c>
      <c r="K28" s="153">
        <f>IF(K4=0,0,K16+K17+K18+K19+K20+K21+K22+K23+K24+K25+K26+K27)</f>
        <v>36363.089999999997</v>
      </c>
      <c r="L28" s="153">
        <f t="shared" si="14"/>
        <v>0</v>
      </c>
      <c r="M28" s="153">
        <f t="shared" si="14"/>
        <v>41238.28</v>
      </c>
      <c r="N28" s="153">
        <f t="shared" si="14"/>
        <v>0</v>
      </c>
      <c r="O28" s="153">
        <f t="shared" si="14"/>
        <v>0</v>
      </c>
      <c r="P28" s="153"/>
    </row>
    <row r="29" spans="1:21" x14ac:dyDescent="0.2">
      <c r="I29" s="406">
        <f>IF((I4+J4)=0,0,ROUND((I28*I4+J28*J4)/(I4+J4),2))</f>
        <v>26247.48</v>
      </c>
      <c r="J29" s="406"/>
      <c r="K29" s="406">
        <f>IF((K4+L4)=0,0,ROUND((K28*K4+L28*L4)/(K4+L4),2))</f>
        <v>36363.089999999997</v>
      </c>
      <c r="L29" s="406"/>
      <c r="M29" s="406">
        <f t="shared" ref="M29" si="15">IF((M4+N4)=0,0,ROUND((M28*M4+N28*N4)/(M4+N4),2))</f>
        <v>41238.28</v>
      </c>
      <c r="N29" s="406"/>
      <c r="O29" s="57">
        <f>O28</f>
        <v>0</v>
      </c>
    </row>
    <row r="30" spans="1:21" x14ac:dyDescent="0.2">
      <c r="N30" s="74"/>
    </row>
    <row r="32" spans="1:21" x14ac:dyDescent="0.2">
      <c r="I32" s="74">
        <f>I29*(I4+J4)+K29*(K4+L4)+M29*(M4+N4)+O4*O29-C6</f>
        <v>-5.4100000038743019</v>
      </c>
    </row>
    <row r="50" spans="1:1" x14ac:dyDescent="0.2">
      <c r="A50" s="57" t="s">
        <v>149</v>
      </c>
    </row>
    <row r="53" spans="1:1" x14ac:dyDescent="0.2">
      <c r="A53" s="57" t="s">
        <v>150</v>
      </c>
    </row>
  </sheetData>
  <mergeCells count="7">
    <mergeCell ref="A2:E2"/>
    <mergeCell ref="I2:J2"/>
    <mergeCell ref="K2:L2"/>
    <mergeCell ref="M2:N2"/>
    <mergeCell ref="I29:J29"/>
    <mergeCell ref="K29:L29"/>
    <mergeCell ref="M29:N2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9" sqref="I9"/>
    </sheetView>
  </sheetViews>
  <sheetFormatPr defaultRowHeight="15" x14ac:dyDescent="0.25"/>
  <cols>
    <col min="1" max="1" width="6.5703125" customWidth="1"/>
    <col min="2" max="2" width="35.5703125" customWidth="1"/>
    <col min="3" max="3" width="19" customWidth="1"/>
    <col min="4" max="4" width="13.85546875" customWidth="1"/>
    <col min="5" max="7" width="13.5703125" customWidth="1"/>
    <col min="8" max="8" width="13.7109375" customWidth="1"/>
    <col min="9" max="9" width="22.42578125" customWidth="1"/>
    <col min="257" max="257" width="6.5703125" customWidth="1"/>
    <col min="258" max="258" width="35.5703125" customWidth="1"/>
    <col min="259" max="259" width="17.42578125" customWidth="1"/>
    <col min="260" max="260" width="11.5703125" customWidth="1"/>
    <col min="261" max="261" width="12.7109375" customWidth="1"/>
    <col min="262" max="263" width="11.5703125" customWidth="1"/>
    <col min="264" max="264" width="13.7109375" customWidth="1"/>
    <col min="265" max="265" width="22.42578125" customWidth="1"/>
    <col min="513" max="513" width="6.5703125" customWidth="1"/>
    <col min="514" max="514" width="35.5703125" customWidth="1"/>
    <col min="515" max="515" width="17.42578125" customWidth="1"/>
    <col min="516" max="516" width="11.5703125" customWidth="1"/>
    <col min="517" max="517" width="12.7109375" customWidth="1"/>
    <col min="518" max="519" width="11.5703125" customWidth="1"/>
    <col min="520" max="520" width="13.7109375" customWidth="1"/>
    <col min="521" max="521" width="22.42578125" customWidth="1"/>
    <col min="769" max="769" width="6.5703125" customWidth="1"/>
    <col min="770" max="770" width="35.5703125" customWidth="1"/>
    <col min="771" max="771" width="17.42578125" customWidth="1"/>
    <col min="772" max="772" width="11.5703125" customWidth="1"/>
    <col min="773" max="773" width="12.7109375" customWidth="1"/>
    <col min="774" max="775" width="11.5703125" customWidth="1"/>
    <col min="776" max="776" width="13.7109375" customWidth="1"/>
    <col min="777" max="777" width="22.42578125" customWidth="1"/>
    <col min="1025" max="1025" width="6.5703125" customWidth="1"/>
    <col min="1026" max="1026" width="35.5703125" customWidth="1"/>
    <col min="1027" max="1027" width="17.42578125" customWidth="1"/>
    <col min="1028" max="1028" width="11.5703125" customWidth="1"/>
    <col min="1029" max="1029" width="12.7109375" customWidth="1"/>
    <col min="1030" max="1031" width="11.5703125" customWidth="1"/>
    <col min="1032" max="1032" width="13.7109375" customWidth="1"/>
    <col min="1033" max="1033" width="22.42578125" customWidth="1"/>
    <col min="1281" max="1281" width="6.5703125" customWidth="1"/>
    <col min="1282" max="1282" width="35.5703125" customWidth="1"/>
    <col min="1283" max="1283" width="17.42578125" customWidth="1"/>
    <col min="1284" max="1284" width="11.5703125" customWidth="1"/>
    <col min="1285" max="1285" width="12.7109375" customWidth="1"/>
    <col min="1286" max="1287" width="11.5703125" customWidth="1"/>
    <col min="1288" max="1288" width="13.7109375" customWidth="1"/>
    <col min="1289" max="1289" width="22.42578125" customWidth="1"/>
    <col min="1537" max="1537" width="6.5703125" customWidth="1"/>
    <col min="1538" max="1538" width="35.5703125" customWidth="1"/>
    <col min="1539" max="1539" width="17.42578125" customWidth="1"/>
    <col min="1540" max="1540" width="11.5703125" customWidth="1"/>
    <col min="1541" max="1541" width="12.7109375" customWidth="1"/>
    <col min="1542" max="1543" width="11.5703125" customWidth="1"/>
    <col min="1544" max="1544" width="13.7109375" customWidth="1"/>
    <col min="1545" max="1545" width="22.42578125" customWidth="1"/>
    <col min="1793" max="1793" width="6.5703125" customWidth="1"/>
    <col min="1794" max="1794" width="35.5703125" customWidth="1"/>
    <col min="1795" max="1795" width="17.42578125" customWidth="1"/>
    <col min="1796" max="1796" width="11.5703125" customWidth="1"/>
    <col min="1797" max="1797" width="12.7109375" customWidth="1"/>
    <col min="1798" max="1799" width="11.5703125" customWidth="1"/>
    <col min="1800" max="1800" width="13.7109375" customWidth="1"/>
    <col min="1801" max="1801" width="22.42578125" customWidth="1"/>
    <col min="2049" max="2049" width="6.5703125" customWidth="1"/>
    <col min="2050" max="2050" width="35.5703125" customWidth="1"/>
    <col min="2051" max="2051" width="17.42578125" customWidth="1"/>
    <col min="2052" max="2052" width="11.5703125" customWidth="1"/>
    <col min="2053" max="2053" width="12.7109375" customWidth="1"/>
    <col min="2054" max="2055" width="11.5703125" customWidth="1"/>
    <col min="2056" max="2056" width="13.7109375" customWidth="1"/>
    <col min="2057" max="2057" width="22.42578125" customWidth="1"/>
    <col min="2305" max="2305" width="6.5703125" customWidth="1"/>
    <col min="2306" max="2306" width="35.5703125" customWidth="1"/>
    <col min="2307" max="2307" width="17.42578125" customWidth="1"/>
    <col min="2308" max="2308" width="11.5703125" customWidth="1"/>
    <col min="2309" max="2309" width="12.7109375" customWidth="1"/>
    <col min="2310" max="2311" width="11.5703125" customWidth="1"/>
    <col min="2312" max="2312" width="13.7109375" customWidth="1"/>
    <col min="2313" max="2313" width="22.42578125" customWidth="1"/>
    <col min="2561" max="2561" width="6.5703125" customWidth="1"/>
    <col min="2562" max="2562" width="35.5703125" customWidth="1"/>
    <col min="2563" max="2563" width="17.42578125" customWidth="1"/>
    <col min="2564" max="2564" width="11.5703125" customWidth="1"/>
    <col min="2565" max="2565" width="12.7109375" customWidth="1"/>
    <col min="2566" max="2567" width="11.5703125" customWidth="1"/>
    <col min="2568" max="2568" width="13.7109375" customWidth="1"/>
    <col min="2569" max="2569" width="22.42578125" customWidth="1"/>
    <col min="2817" max="2817" width="6.5703125" customWidth="1"/>
    <col min="2818" max="2818" width="35.5703125" customWidth="1"/>
    <col min="2819" max="2819" width="17.42578125" customWidth="1"/>
    <col min="2820" max="2820" width="11.5703125" customWidth="1"/>
    <col min="2821" max="2821" width="12.7109375" customWidth="1"/>
    <col min="2822" max="2823" width="11.5703125" customWidth="1"/>
    <col min="2824" max="2824" width="13.7109375" customWidth="1"/>
    <col min="2825" max="2825" width="22.42578125" customWidth="1"/>
    <col min="3073" max="3073" width="6.5703125" customWidth="1"/>
    <col min="3074" max="3074" width="35.5703125" customWidth="1"/>
    <col min="3075" max="3075" width="17.42578125" customWidth="1"/>
    <col min="3076" max="3076" width="11.5703125" customWidth="1"/>
    <col min="3077" max="3077" width="12.7109375" customWidth="1"/>
    <col min="3078" max="3079" width="11.5703125" customWidth="1"/>
    <col min="3080" max="3080" width="13.7109375" customWidth="1"/>
    <col min="3081" max="3081" width="22.42578125" customWidth="1"/>
    <col min="3329" max="3329" width="6.5703125" customWidth="1"/>
    <col min="3330" max="3330" width="35.5703125" customWidth="1"/>
    <col min="3331" max="3331" width="17.42578125" customWidth="1"/>
    <col min="3332" max="3332" width="11.5703125" customWidth="1"/>
    <col min="3333" max="3333" width="12.7109375" customWidth="1"/>
    <col min="3334" max="3335" width="11.5703125" customWidth="1"/>
    <col min="3336" max="3336" width="13.7109375" customWidth="1"/>
    <col min="3337" max="3337" width="22.42578125" customWidth="1"/>
    <col min="3585" max="3585" width="6.5703125" customWidth="1"/>
    <col min="3586" max="3586" width="35.5703125" customWidth="1"/>
    <col min="3587" max="3587" width="17.42578125" customWidth="1"/>
    <col min="3588" max="3588" width="11.5703125" customWidth="1"/>
    <col min="3589" max="3589" width="12.7109375" customWidth="1"/>
    <col min="3590" max="3591" width="11.5703125" customWidth="1"/>
    <col min="3592" max="3592" width="13.7109375" customWidth="1"/>
    <col min="3593" max="3593" width="22.42578125" customWidth="1"/>
    <col min="3841" max="3841" width="6.5703125" customWidth="1"/>
    <col min="3842" max="3842" width="35.5703125" customWidth="1"/>
    <col min="3843" max="3843" width="17.42578125" customWidth="1"/>
    <col min="3844" max="3844" width="11.5703125" customWidth="1"/>
    <col min="3845" max="3845" width="12.7109375" customWidth="1"/>
    <col min="3846" max="3847" width="11.5703125" customWidth="1"/>
    <col min="3848" max="3848" width="13.7109375" customWidth="1"/>
    <col min="3849" max="3849" width="22.42578125" customWidth="1"/>
    <col min="4097" max="4097" width="6.5703125" customWidth="1"/>
    <col min="4098" max="4098" width="35.5703125" customWidth="1"/>
    <col min="4099" max="4099" width="17.42578125" customWidth="1"/>
    <col min="4100" max="4100" width="11.5703125" customWidth="1"/>
    <col min="4101" max="4101" width="12.7109375" customWidth="1"/>
    <col min="4102" max="4103" width="11.5703125" customWidth="1"/>
    <col min="4104" max="4104" width="13.7109375" customWidth="1"/>
    <col min="4105" max="4105" width="22.42578125" customWidth="1"/>
    <col min="4353" max="4353" width="6.5703125" customWidth="1"/>
    <col min="4354" max="4354" width="35.5703125" customWidth="1"/>
    <col min="4355" max="4355" width="17.42578125" customWidth="1"/>
    <col min="4356" max="4356" width="11.5703125" customWidth="1"/>
    <col min="4357" max="4357" width="12.7109375" customWidth="1"/>
    <col min="4358" max="4359" width="11.5703125" customWidth="1"/>
    <col min="4360" max="4360" width="13.7109375" customWidth="1"/>
    <col min="4361" max="4361" width="22.42578125" customWidth="1"/>
    <col min="4609" max="4609" width="6.5703125" customWidth="1"/>
    <col min="4610" max="4610" width="35.5703125" customWidth="1"/>
    <col min="4611" max="4611" width="17.42578125" customWidth="1"/>
    <col min="4612" max="4612" width="11.5703125" customWidth="1"/>
    <col min="4613" max="4613" width="12.7109375" customWidth="1"/>
    <col min="4614" max="4615" width="11.5703125" customWidth="1"/>
    <col min="4616" max="4616" width="13.7109375" customWidth="1"/>
    <col min="4617" max="4617" width="22.42578125" customWidth="1"/>
    <col min="4865" max="4865" width="6.5703125" customWidth="1"/>
    <col min="4866" max="4866" width="35.5703125" customWidth="1"/>
    <col min="4867" max="4867" width="17.42578125" customWidth="1"/>
    <col min="4868" max="4868" width="11.5703125" customWidth="1"/>
    <col min="4869" max="4869" width="12.7109375" customWidth="1"/>
    <col min="4870" max="4871" width="11.5703125" customWidth="1"/>
    <col min="4872" max="4872" width="13.7109375" customWidth="1"/>
    <col min="4873" max="4873" width="22.42578125" customWidth="1"/>
    <col min="5121" max="5121" width="6.5703125" customWidth="1"/>
    <col min="5122" max="5122" width="35.5703125" customWidth="1"/>
    <col min="5123" max="5123" width="17.42578125" customWidth="1"/>
    <col min="5124" max="5124" width="11.5703125" customWidth="1"/>
    <col min="5125" max="5125" width="12.7109375" customWidth="1"/>
    <col min="5126" max="5127" width="11.5703125" customWidth="1"/>
    <col min="5128" max="5128" width="13.7109375" customWidth="1"/>
    <col min="5129" max="5129" width="22.42578125" customWidth="1"/>
    <col min="5377" max="5377" width="6.5703125" customWidth="1"/>
    <col min="5378" max="5378" width="35.5703125" customWidth="1"/>
    <col min="5379" max="5379" width="17.42578125" customWidth="1"/>
    <col min="5380" max="5380" width="11.5703125" customWidth="1"/>
    <col min="5381" max="5381" width="12.7109375" customWidth="1"/>
    <col min="5382" max="5383" width="11.5703125" customWidth="1"/>
    <col min="5384" max="5384" width="13.7109375" customWidth="1"/>
    <col min="5385" max="5385" width="22.42578125" customWidth="1"/>
    <col min="5633" max="5633" width="6.5703125" customWidth="1"/>
    <col min="5634" max="5634" width="35.5703125" customWidth="1"/>
    <col min="5635" max="5635" width="17.42578125" customWidth="1"/>
    <col min="5636" max="5636" width="11.5703125" customWidth="1"/>
    <col min="5637" max="5637" width="12.7109375" customWidth="1"/>
    <col min="5638" max="5639" width="11.5703125" customWidth="1"/>
    <col min="5640" max="5640" width="13.7109375" customWidth="1"/>
    <col min="5641" max="5641" width="22.42578125" customWidth="1"/>
    <col min="5889" max="5889" width="6.5703125" customWidth="1"/>
    <col min="5890" max="5890" width="35.5703125" customWidth="1"/>
    <col min="5891" max="5891" width="17.42578125" customWidth="1"/>
    <col min="5892" max="5892" width="11.5703125" customWidth="1"/>
    <col min="5893" max="5893" width="12.7109375" customWidth="1"/>
    <col min="5894" max="5895" width="11.5703125" customWidth="1"/>
    <col min="5896" max="5896" width="13.7109375" customWidth="1"/>
    <col min="5897" max="5897" width="22.42578125" customWidth="1"/>
    <col min="6145" max="6145" width="6.5703125" customWidth="1"/>
    <col min="6146" max="6146" width="35.5703125" customWidth="1"/>
    <col min="6147" max="6147" width="17.42578125" customWidth="1"/>
    <col min="6148" max="6148" width="11.5703125" customWidth="1"/>
    <col min="6149" max="6149" width="12.7109375" customWidth="1"/>
    <col min="6150" max="6151" width="11.5703125" customWidth="1"/>
    <col min="6152" max="6152" width="13.7109375" customWidth="1"/>
    <col min="6153" max="6153" width="22.42578125" customWidth="1"/>
    <col min="6401" max="6401" width="6.5703125" customWidth="1"/>
    <col min="6402" max="6402" width="35.5703125" customWidth="1"/>
    <col min="6403" max="6403" width="17.42578125" customWidth="1"/>
    <col min="6404" max="6404" width="11.5703125" customWidth="1"/>
    <col min="6405" max="6405" width="12.7109375" customWidth="1"/>
    <col min="6406" max="6407" width="11.5703125" customWidth="1"/>
    <col min="6408" max="6408" width="13.7109375" customWidth="1"/>
    <col min="6409" max="6409" width="22.42578125" customWidth="1"/>
    <col min="6657" max="6657" width="6.5703125" customWidth="1"/>
    <col min="6658" max="6658" width="35.5703125" customWidth="1"/>
    <col min="6659" max="6659" width="17.42578125" customWidth="1"/>
    <col min="6660" max="6660" width="11.5703125" customWidth="1"/>
    <col min="6661" max="6661" width="12.7109375" customWidth="1"/>
    <col min="6662" max="6663" width="11.5703125" customWidth="1"/>
    <col min="6664" max="6664" width="13.7109375" customWidth="1"/>
    <col min="6665" max="6665" width="22.42578125" customWidth="1"/>
    <col min="6913" max="6913" width="6.5703125" customWidth="1"/>
    <col min="6914" max="6914" width="35.5703125" customWidth="1"/>
    <col min="6915" max="6915" width="17.42578125" customWidth="1"/>
    <col min="6916" max="6916" width="11.5703125" customWidth="1"/>
    <col min="6917" max="6917" width="12.7109375" customWidth="1"/>
    <col min="6918" max="6919" width="11.5703125" customWidth="1"/>
    <col min="6920" max="6920" width="13.7109375" customWidth="1"/>
    <col min="6921" max="6921" width="22.42578125" customWidth="1"/>
    <col min="7169" max="7169" width="6.5703125" customWidth="1"/>
    <col min="7170" max="7170" width="35.5703125" customWidth="1"/>
    <col min="7171" max="7171" width="17.42578125" customWidth="1"/>
    <col min="7172" max="7172" width="11.5703125" customWidth="1"/>
    <col min="7173" max="7173" width="12.7109375" customWidth="1"/>
    <col min="7174" max="7175" width="11.5703125" customWidth="1"/>
    <col min="7176" max="7176" width="13.7109375" customWidth="1"/>
    <col min="7177" max="7177" width="22.42578125" customWidth="1"/>
    <col min="7425" max="7425" width="6.5703125" customWidth="1"/>
    <col min="7426" max="7426" width="35.5703125" customWidth="1"/>
    <col min="7427" max="7427" width="17.42578125" customWidth="1"/>
    <col min="7428" max="7428" width="11.5703125" customWidth="1"/>
    <col min="7429" max="7429" width="12.7109375" customWidth="1"/>
    <col min="7430" max="7431" width="11.5703125" customWidth="1"/>
    <col min="7432" max="7432" width="13.7109375" customWidth="1"/>
    <col min="7433" max="7433" width="22.42578125" customWidth="1"/>
    <col min="7681" max="7681" width="6.5703125" customWidth="1"/>
    <col min="7682" max="7682" width="35.5703125" customWidth="1"/>
    <col min="7683" max="7683" width="17.42578125" customWidth="1"/>
    <col min="7684" max="7684" width="11.5703125" customWidth="1"/>
    <col min="7685" max="7685" width="12.7109375" customWidth="1"/>
    <col min="7686" max="7687" width="11.5703125" customWidth="1"/>
    <col min="7688" max="7688" width="13.7109375" customWidth="1"/>
    <col min="7689" max="7689" width="22.42578125" customWidth="1"/>
    <col min="7937" max="7937" width="6.5703125" customWidth="1"/>
    <col min="7938" max="7938" width="35.5703125" customWidth="1"/>
    <col min="7939" max="7939" width="17.42578125" customWidth="1"/>
    <col min="7940" max="7940" width="11.5703125" customWidth="1"/>
    <col min="7941" max="7941" width="12.7109375" customWidth="1"/>
    <col min="7942" max="7943" width="11.5703125" customWidth="1"/>
    <col min="7944" max="7944" width="13.7109375" customWidth="1"/>
    <col min="7945" max="7945" width="22.42578125" customWidth="1"/>
    <col min="8193" max="8193" width="6.5703125" customWidth="1"/>
    <col min="8194" max="8194" width="35.5703125" customWidth="1"/>
    <col min="8195" max="8195" width="17.42578125" customWidth="1"/>
    <col min="8196" max="8196" width="11.5703125" customWidth="1"/>
    <col min="8197" max="8197" width="12.7109375" customWidth="1"/>
    <col min="8198" max="8199" width="11.5703125" customWidth="1"/>
    <col min="8200" max="8200" width="13.7109375" customWidth="1"/>
    <col min="8201" max="8201" width="22.42578125" customWidth="1"/>
    <col min="8449" max="8449" width="6.5703125" customWidth="1"/>
    <col min="8450" max="8450" width="35.5703125" customWidth="1"/>
    <col min="8451" max="8451" width="17.42578125" customWidth="1"/>
    <col min="8452" max="8452" width="11.5703125" customWidth="1"/>
    <col min="8453" max="8453" width="12.7109375" customWidth="1"/>
    <col min="8454" max="8455" width="11.5703125" customWidth="1"/>
    <col min="8456" max="8456" width="13.7109375" customWidth="1"/>
    <col min="8457" max="8457" width="22.42578125" customWidth="1"/>
    <col min="8705" max="8705" width="6.5703125" customWidth="1"/>
    <col min="8706" max="8706" width="35.5703125" customWidth="1"/>
    <col min="8707" max="8707" width="17.42578125" customWidth="1"/>
    <col min="8708" max="8708" width="11.5703125" customWidth="1"/>
    <col min="8709" max="8709" width="12.7109375" customWidth="1"/>
    <col min="8710" max="8711" width="11.5703125" customWidth="1"/>
    <col min="8712" max="8712" width="13.7109375" customWidth="1"/>
    <col min="8713" max="8713" width="22.42578125" customWidth="1"/>
    <col min="8961" max="8961" width="6.5703125" customWidth="1"/>
    <col min="8962" max="8962" width="35.5703125" customWidth="1"/>
    <col min="8963" max="8963" width="17.42578125" customWidth="1"/>
    <col min="8964" max="8964" width="11.5703125" customWidth="1"/>
    <col min="8965" max="8965" width="12.7109375" customWidth="1"/>
    <col min="8966" max="8967" width="11.5703125" customWidth="1"/>
    <col min="8968" max="8968" width="13.7109375" customWidth="1"/>
    <col min="8969" max="8969" width="22.42578125" customWidth="1"/>
    <col min="9217" max="9217" width="6.5703125" customWidth="1"/>
    <col min="9218" max="9218" width="35.5703125" customWidth="1"/>
    <col min="9219" max="9219" width="17.42578125" customWidth="1"/>
    <col min="9220" max="9220" width="11.5703125" customWidth="1"/>
    <col min="9221" max="9221" width="12.7109375" customWidth="1"/>
    <col min="9222" max="9223" width="11.5703125" customWidth="1"/>
    <col min="9224" max="9224" width="13.7109375" customWidth="1"/>
    <col min="9225" max="9225" width="22.42578125" customWidth="1"/>
    <col min="9473" max="9473" width="6.5703125" customWidth="1"/>
    <col min="9474" max="9474" width="35.5703125" customWidth="1"/>
    <col min="9475" max="9475" width="17.42578125" customWidth="1"/>
    <col min="9476" max="9476" width="11.5703125" customWidth="1"/>
    <col min="9477" max="9477" width="12.7109375" customWidth="1"/>
    <col min="9478" max="9479" width="11.5703125" customWidth="1"/>
    <col min="9480" max="9480" width="13.7109375" customWidth="1"/>
    <col min="9481" max="9481" width="22.42578125" customWidth="1"/>
    <col min="9729" max="9729" width="6.5703125" customWidth="1"/>
    <col min="9730" max="9730" width="35.5703125" customWidth="1"/>
    <col min="9731" max="9731" width="17.42578125" customWidth="1"/>
    <col min="9732" max="9732" width="11.5703125" customWidth="1"/>
    <col min="9733" max="9733" width="12.7109375" customWidth="1"/>
    <col min="9734" max="9735" width="11.5703125" customWidth="1"/>
    <col min="9736" max="9736" width="13.7109375" customWidth="1"/>
    <col min="9737" max="9737" width="22.42578125" customWidth="1"/>
    <col min="9985" max="9985" width="6.5703125" customWidth="1"/>
    <col min="9986" max="9986" width="35.5703125" customWidth="1"/>
    <col min="9987" max="9987" width="17.42578125" customWidth="1"/>
    <col min="9988" max="9988" width="11.5703125" customWidth="1"/>
    <col min="9989" max="9989" width="12.7109375" customWidth="1"/>
    <col min="9990" max="9991" width="11.5703125" customWidth="1"/>
    <col min="9992" max="9992" width="13.7109375" customWidth="1"/>
    <col min="9993" max="9993" width="22.42578125" customWidth="1"/>
    <col min="10241" max="10241" width="6.5703125" customWidth="1"/>
    <col min="10242" max="10242" width="35.5703125" customWidth="1"/>
    <col min="10243" max="10243" width="17.42578125" customWidth="1"/>
    <col min="10244" max="10244" width="11.5703125" customWidth="1"/>
    <col min="10245" max="10245" width="12.7109375" customWidth="1"/>
    <col min="10246" max="10247" width="11.5703125" customWidth="1"/>
    <col min="10248" max="10248" width="13.7109375" customWidth="1"/>
    <col min="10249" max="10249" width="22.42578125" customWidth="1"/>
    <col min="10497" max="10497" width="6.5703125" customWidth="1"/>
    <col min="10498" max="10498" width="35.5703125" customWidth="1"/>
    <col min="10499" max="10499" width="17.42578125" customWidth="1"/>
    <col min="10500" max="10500" width="11.5703125" customWidth="1"/>
    <col min="10501" max="10501" width="12.7109375" customWidth="1"/>
    <col min="10502" max="10503" width="11.5703125" customWidth="1"/>
    <col min="10504" max="10504" width="13.7109375" customWidth="1"/>
    <col min="10505" max="10505" width="22.42578125" customWidth="1"/>
    <col min="10753" max="10753" width="6.5703125" customWidth="1"/>
    <col min="10754" max="10754" width="35.5703125" customWidth="1"/>
    <col min="10755" max="10755" width="17.42578125" customWidth="1"/>
    <col min="10756" max="10756" width="11.5703125" customWidth="1"/>
    <col min="10757" max="10757" width="12.7109375" customWidth="1"/>
    <col min="10758" max="10759" width="11.5703125" customWidth="1"/>
    <col min="10760" max="10760" width="13.7109375" customWidth="1"/>
    <col min="10761" max="10761" width="22.42578125" customWidth="1"/>
    <col min="11009" max="11009" width="6.5703125" customWidth="1"/>
    <col min="11010" max="11010" width="35.5703125" customWidth="1"/>
    <col min="11011" max="11011" width="17.42578125" customWidth="1"/>
    <col min="11012" max="11012" width="11.5703125" customWidth="1"/>
    <col min="11013" max="11013" width="12.7109375" customWidth="1"/>
    <col min="11014" max="11015" width="11.5703125" customWidth="1"/>
    <col min="11016" max="11016" width="13.7109375" customWidth="1"/>
    <col min="11017" max="11017" width="22.42578125" customWidth="1"/>
    <col min="11265" max="11265" width="6.5703125" customWidth="1"/>
    <col min="11266" max="11266" width="35.5703125" customWidth="1"/>
    <col min="11267" max="11267" width="17.42578125" customWidth="1"/>
    <col min="11268" max="11268" width="11.5703125" customWidth="1"/>
    <col min="11269" max="11269" width="12.7109375" customWidth="1"/>
    <col min="11270" max="11271" width="11.5703125" customWidth="1"/>
    <col min="11272" max="11272" width="13.7109375" customWidth="1"/>
    <col min="11273" max="11273" width="22.42578125" customWidth="1"/>
    <col min="11521" max="11521" width="6.5703125" customWidth="1"/>
    <col min="11522" max="11522" width="35.5703125" customWidth="1"/>
    <col min="11523" max="11523" width="17.42578125" customWidth="1"/>
    <col min="11524" max="11524" width="11.5703125" customWidth="1"/>
    <col min="11525" max="11525" width="12.7109375" customWidth="1"/>
    <col min="11526" max="11527" width="11.5703125" customWidth="1"/>
    <col min="11528" max="11528" width="13.7109375" customWidth="1"/>
    <col min="11529" max="11529" width="22.42578125" customWidth="1"/>
    <col min="11777" max="11777" width="6.5703125" customWidth="1"/>
    <col min="11778" max="11778" width="35.5703125" customWidth="1"/>
    <col min="11779" max="11779" width="17.42578125" customWidth="1"/>
    <col min="11780" max="11780" width="11.5703125" customWidth="1"/>
    <col min="11781" max="11781" width="12.7109375" customWidth="1"/>
    <col min="11782" max="11783" width="11.5703125" customWidth="1"/>
    <col min="11784" max="11784" width="13.7109375" customWidth="1"/>
    <col min="11785" max="11785" width="22.42578125" customWidth="1"/>
    <col min="12033" max="12033" width="6.5703125" customWidth="1"/>
    <col min="12034" max="12034" width="35.5703125" customWidth="1"/>
    <col min="12035" max="12035" width="17.42578125" customWidth="1"/>
    <col min="12036" max="12036" width="11.5703125" customWidth="1"/>
    <col min="12037" max="12037" width="12.7109375" customWidth="1"/>
    <col min="12038" max="12039" width="11.5703125" customWidth="1"/>
    <col min="12040" max="12040" width="13.7109375" customWidth="1"/>
    <col min="12041" max="12041" width="22.42578125" customWidth="1"/>
    <col min="12289" max="12289" width="6.5703125" customWidth="1"/>
    <col min="12290" max="12290" width="35.5703125" customWidth="1"/>
    <col min="12291" max="12291" width="17.42578125" customWidth="1"/>
    <col min="12292" max="12292" width="11.5703125" customWidth="1"/>
    <col min="12293" max="12293" width="12.7109375" customWidth="1"/>
    <col min="12294" max="12295" width="11.5703125" customWidth="1"/>
    <col min="12296" max="12296" width="13.7109375" customWidth="1"/>
    <col min="12297" max="12297" width="22.42578125" customWidth="1"/>
    <col min="12545" max="12545" width="6.5703125" customWidth="1"/>
    <col min="12546" max="12546" width="35.5703125" customWidth="1"/>
    <col min="12547" max="12547" width="17.42578125" customWidth="1"/>
    <col min="12548" max="12548" width="11.5703125" customWidth="1"/>
    <col min="12549" max="12549" width="12.7109375" customWidth="1"/>
    <col min="12550" max="12551" width="11.5703125" customWidth="1"/>
    <col min="12552" max="12552" width="13.7109375" customWidth="1"/>
    <col min="12553" max="12553" width="22.42578125" customWidth="1"/>
    <col min="12801" max="12801" width="6.5703125" customWidth="1"/>
    <col min="12802" max="12802" width="35.5703125" customWidth="1"/>
    <col min="12803" max="12803" width="17.42578125" customWidth="1"/>
    <col min="12804" max="12804" width="11.5703125" customWidth="1"/>
    <col min="12805" max="12805" width="12.7109375" customWidth="1"/>
    <col min="12806" max="12807" width="11.5703125" customWidth="1"/>
    <col min="12808" max="12808" width="13.7109375" customWidth="1"/>
    <col min="12809" max="12809" width="22.42578125" customWidth="1"/>
    <col min="13057" max="13057" width="6.5703125" customWidth="1"/>
    <col min="13058" max="13058" width="35.5703125" customWidth="1"/>
    <col min="13059" max="13059" width="17.42578125" customWidth="1"/>
    <col min="13060" max="13060" width="11.5703125" customWidth="1"/>
    <col min="13061" max="13061" width="12.7109375" customWidth="1"/>
    <col min="13062" max="13063" width="11.5703125" customWidth="1"/>
    <col min="13064" max="13064" width="13.7109375" customWidth="1"/>
    <col min="13065" max="13065" width="22.42578125" customWidth="1"/>
    <col min="13313" max="13313" width="6.5703125" customWidth="1"/>
    <col min="13314" max="13314" width="35.5703125" customWidth="1"/>
    <col min="13315" max="13315" width="17.42578125" customWidth="1"/>
    <col min="13316" max="13316" width="11.5703125" customWidth="1"/>
    <col min="13317" max="13317" width="12.7109375" customWidth="1"/>
    <col min="13318" max="13319" width="11.5703125" customWidth="1"/>
    <col min="13320" max="13320" width="13.7109375" customWidth="1"/>
    <col min="13321" max="13321" width="22.42578125" customWidth="1"/>
    <col min="13569" max="13569" width="6.5703125" customWidth="1"/>
    <col min="13570" max="13570" width="35.5703125" customWidth="1"/>
    <col min="13571" max="13571" width="17.42578125" customWidth="1"/>
    <col min="13572" max="13572" width="11.5703125" customWidth="1"/>
    <col min="13573" max="13573" width="12.7109375" customWidth="1"/>
    <col min="13574" max="13575" width="11.5703125" customWidth="1"/>
    <col min="13576" max="13576" width="13.7109375" customWidth="1"/>
    <col min="13577" max="13577" width="22.42578125" customWidth="1"/>
    <col min="13825" max="13825" width="6.5703125" customWidth="1"/>
    <col min="13826" max="13826" width="35.5703125" customWidth="1"/>
    <col min="13827" max="13827" width="17.42578125" customWidth="1"/>
    <col min="13828" max="13828" width="11.5703125" customWidth="1"/>
    <col min="13829" max="13829" width="12.7109375" customWidth="1"/>
    <col min="13830" max="13831" width="11.5703125" customWidth="1"/>
    <col min="13832" max="13832" width="13.7109375" customWidth="1"/>
    <col min="13833" max="13833" width="22.42578125" customWidth="1"/>
    <col min="14081" max="14081" width="6.5703125" customWidth="1"/>
    <col min="14082" max="14082" width="35.5703125" customWidth="1"/>
    <col min="14083" max="14083" width="17.42578125" customWidth="1"/>
    <col min="14084" max="14084" width="11.5703125" customWidth="1"/>
    <col min="14085" max="14085" width="12.7109375" customWidth="1"/>
    <col min="14086" max="14087" width="11.5703125" customWidth="1"/>
    <col min="14088" max="14088" width="13.7109375" customWidth="1"/>
    <col min="14089" max="14089" width="22.42578125" customWidth="1"/>
    <col min="14337" max="14337" width="6.5703125" customWidth="1"/>
    <col min="14338" max="14338" width="35.5703125" customWidth="1"/>
    <col min="14339" max="14339" width="17.42578125" customWidth="1"/>
    <col min="14340" max="14340" width="11.5703125" customWidth="1"/>
    <col min="14341" max="14341" width="12.7109375" customWidth="1"/>
    <col min="14342" max="14343" width="11.5703125" customWidth="1"/>
    <col min="14344" max="14344" width="13.7109375" customWidth="1"/>
    <col min="14345" max="14345" width="22.42578125" customWidth="1"/>
    <col min="14593" max="14593" width="6.5703125" customWidth="1"/>
    <col min="14594" max="14594" width="35.5703125" customWidth="1"/>
    <col min="14595" max="14595" width="17.42578125" customWidth="1"/>
    <col min="14596" max="14596" width="11.5703125" customWidth="1"/>
    <col min="14597" max="14597" width="12.7109375" customWidth="1"/>
    <col min="14598" max="14599" width="11.5703125" customWidth="1"/>
    <col min="14600" max="14600" width="13.7109375" customWidth="1"/>
    <col min="14601" max="14601" width="22.42578125" customWidth="1"/>
    <col min="14849" max="14849" width="6.5703125" customWidth="1"/>
    <col min="14850" max="14850" width="35.5703125" customWidth="1"/>
    <col min="14851" max="14851" width="17.42578125" customWidth="1"/>
    <col min="14852" max="14852" width="11.5703125" customWidth="1"/>
    <col min="14853" max="14853" width="12.7109375" customWidth="1"/>
    <col min="14854" max="14855" width="11.5703125" customWidth="1"/>
    <col min="14856" max="14856" width="13.7109375" customWidth="1"/>
    <col min="14857" max="14857" width="22.42578125" customWidth="1"/>
    <col min="15105" max="15105" width="6.5703125" customWidth="1"/>
    <col min="15106" max="15106" width="35.5703125" customWidth="1"/>
    <col min="15107" max="15107" width="17.42578125" customWidth="1"/>
    <col min="15108" max="15108" width="11.5703125" customWidth="1"/>
    <col min="15109" max="15109" width="12.7109375" customWidth="1"/>
    <col min="15110" max="15111" width="11.5703125" customWidth="1"/>
    <col min="15112" max="15112" width="13.7109375" customWidth="1"/>
    <col min="15113" max="15113" width="22.42578125" customWidth="1"/>
    <col min="15361" max="15361" width="6.5703125" customWidth="1"/>
    <col min="15362" max="15362" width="35.5703125" customWidth="1"/>
    <col min="15363" max="15363" width="17.42578125" customWidth="1"/>
    <col min="15364" max="15364" width="11.5703125" customWidth="1"/>
    <col min="15365" max="15365" width="12.7109375" customWidth="1"/>
    <col min="15366" max="15367" width="11.5703125" customWidth="1"/>
    <col min="15368" max="15368" width="13.7109375" customWidth="1"/>
    <col min="15369" max="15369" width="22.42578125" customWidth="1"/>
    <col min="15617" max="15617" width="6.5703125" customWidth="1"/>
    <col min="15618" max="15618" width="35.5703125" customWidth="1"/>
    <col min="15619" max="15619" width="17.42578125" customWidth="1"/>
    <col min="15620" max="15620" width="11.5703125" customWidth="1"/>
    <col min="15621" max="15621" width="12.7109375" customWidth="1"/>
    <col min="15622" max="15623" width="11.5703125" customWidth="1"/>
    <col min="15624" max="15624" width="13.7109375" customWidth="1"/>
    <col min="15625" max="15625" width="22.42578125" customWidth="1"/>
    <col min="15873" max="15873" width="6.5703125" customWidth="1"/>
    <col min="15874" max="15874" width="35.5703125" customWidth="1"/>
    <col min="15875" max="15875" width="17.42578125" customWidth="1"/>
    <col min="15876" max="15876" width="11.5703125" customWidth="1"/>
    <col min="15877" max="15877" width="12.7109375" customWidth="1"/>
    <col min="15878" max="15879" width="11.5703125" customWidth="1"/>
    <col min="15880" max="15880" width="13.7109375" customWidth="1"/>
    <col min="15881" max="15881" width="22.42578125" customWidth="1"/>
    <col min="16129" max="16129" width="6.5703125" customWidth="1"/>
    <col min="16130" max="16130" width="35.5703125" customWidth="1"/>
    <col min="16131" max="16131" width="17.42578125" customWidth="1"/>
    <col min="16132" max="16132" width="11.5703125" customWidth="1"/>
    <col min="16133" max="16133" width="12.7109375" customWidth="1"/>
    <col min="16134" max="16135" width="11.5703125" customWidth="1"/>
    <col min="16136" max="16136" width="13.7109375" customWidth="1"/>
    <col min="16137" max="16137" width="22.42578125" customWidth="1"/>
  </cols>
  <sheetData>
    <row r="1" spans="1:9" ht="18.75" x14ac:dyDescent="0.3">
      <c r="A1" s="421" t="s">
        <v>206</v>
      </c>
      <c r="B1" s="421"/>
      <c r="C1" s="421"/>
      <c r="D1" s="421"/>
      <c r="E1" s="421"/>
      <c r="F1" s="421"/>
      <c r="G1" s="421"/>
      <c r="H1" s="421"/>
      <c r="I1" s="421"/>
    </row>
    <row r="2" spans="1:9" ht="18.75" x14ac:dyDescent="0.3">
      <c r="A2" s="421" t="s">
        <v>207</v>
      </c>
      <c r="B2" s="421"/>
      <c r="C2" s="421"/>
      <c r="D2" s="421"/>
      <c r="E2" s="421"/>
      <c r="F2" s="421"/>
      <c r="G2" s="421"/>
      <c r="H2" s="421"/>
      <c r="I2" s="421"/>
    </row>
    <row r="3" spans="1:9" ht="18.75" x14ac:dyDescent="0.3">
      <c r="A3" s="421" t="s">
        <v>257</v>
      </c>
      <c r="B3" s="421"/>
      <c r="C3" s="421"/>
      <c r="D3" s="421"/>
      <c r="E3" s="421"/>
      <c r="F3" s="421"/>
      <c r="G3" s="421"/>
      <c r="H3" s="421"/>
      <c r="I3" s="421"/>
    </row>
    <row r="4" spans="1:9" x14ac:dyDescent="0.25">
      <c r="A4" s="422" t="e">
        <f>#REF!</f>
        <v>#REF!</v>
      </c>
      <c r="B4" s="422"/>
      <c r="C4" s="422"/>
      <c r="D4" s="422"/>
      <c r="E4" s="422"/>
      <c r="F4" s="422"/>
      <c r="G4" s="422"/>
      <c r="H4" s="422"/>
      <c r="I4" s="422"/>
    </row>
    <row r="5" spans="1:9" ht="18.75" x14ac:dyDescent="0.3">
      <c r="A5" s="421"/>
      <c r="B5" s="421"/>
      <c r="C5" s="421"/>
      <c r="D5" s="421"/>
      <c r="E5" s="421"/>
    </row>
    <row r="7" spans="1:9" s="230" customFormat="1" ht="30" customHeight="1" x14ac:dyDescent="0.25">
      <c r="A7" s="423" t="s">
        <v>208</v>
      </c>
      <c r="B7" s="423" t="s">
        <v>209</v>
      </c>
      <c r="C7" s="423" t="s">
        <v>256</v>
      </c>
      <c r="D7" s="423" t="s">
        <v>210</v>
      </c>
      <c r="E7" s="423"/>
      <c r="F7" s="423" t="s">
        <v>211</v>
      </c>
      <c r="G7" s="423"/>
      <c r="H7" s="417" t="s">
        <v>212</v>
      </c>
      <c r="I7" s="418" t="s">
        <v>213</v>
      </c>
    </row>
    <row r="8" spans="1:9" ht="45" x14ac:dyDescent="0.25">
      <c r="A8" s="423"/>
      <c r="B8" s="423"/>
      <c r="C8" s="423"/>
      <c r="D8" s="231" t="s">
        <v>214</v>
      </c>
      <c r="E8" s="231" t="s">
        <v>215</v>
      </c>
      <c r="F8" s="231" t="s">
        <v>214</v>
      </c>
      <c r="G8" s="231" t="s">
        <v>215</v>
      </c>
      <c r="H8" s="417"/>
      <c r="I8" s="419"/>
    </row>
    <row r="9" spans="1:9" ht="90" x14ac:dyDescent="0.25">
      <c r="A9" s="232"/>
      <c r="B9" s="233" t="s">
        <v>216</v>
      </c>
      <c r="C9" s="234">
        <f>2369688+19413474</f>
        <v>21783162</v>
      </c>
      <c r="D9" s="234">
        <f>1356103.74+13282486</f>
        <v>14638589.74</v>
      </c>
      <c r="E9" s="234">
        <v>2270242.2999999998</v>
      </c>
      <c r="F9" s="234">
        <f>1356103.74+13275641.72</f>
        <v>14631745.460000001</v>
      </c>
      <c r="G9" s="234">
        <v>2590797.41</v>
      </c>
      <c r="H9" s="234">
        <f>D9-F9</f>
        <v>6844.2799999993294</v>
      </c>
      <c r="I9" s="317" t="s">
        <v>260</v>
      </c>
    </row>
    <row r="10" spans="1:9" ht="45" x14ac:dyDescent="0.25">
      <c r="A10" s="235">
        <f>A9+1</f>
        <v>1</v>
      </c>
      <c r="B10" s="231" t="s">
        <v>158</v>
      </c>
      <c r="C10" s="236">
        <f>('проверка 2017'!I4+'проверка 2017'!J4)*'проверка 2017'!I33</f>
        <v>8884807.9199999999</v>
      </c>
      <c r="D10" s="236">
        <f>ROUND($C$10/$C$9*D9,2)</f>
        <v>5970715.2699999996</v>
      </c>
      <c r="E10" s="236">
        <f>ROUND($C$10/$C$9*E9,2)</f>
        <v>925975.15</v>
      </c>
      <c r="F10" s="236">
        <f>ROUND($C$10/$C$9*F9,2)</f>
        <v>5967923.6600000001</v>
      </c>
      <c r="G10" s="236">
        <f>ROUND($C$10/$C$9*G9,2)</f>
        <v>1056721.58</v>
      </c>
      <c r="H10" s="236">
        <f>D10-F10</f>
        <v>2791.609999999404</v>
      </c>
      <c r="I10" s="237"/>
    </row>
    <row r="11" spans="1:9" ht="45" x14ac:dyDescent="0.25">
      <c r="A11" s="235">
        <f>A10+1</f>
        <v>2</v>
      </c>
      <c r="B11" s="231" t="s">
        <v>159</v>
      </c>
      <c r="C11" s="236">
        <f>C9-C10-C12-C13</f>
        <v>10947203.039999999</v>
      </c>
      <c r="D11" s="236">
        <f>D9-D10-D12-D13</f>
        <v>7356673.6600000001</v>
      </c>
      <c r="E11" s="236">
        <f>E9-E10-E12-E13</f>
        <v>1140918.0899999999</v>
      </c>
      <c r="F11" s="236">
        <f>F9-F10-F12-F13</f>
        <v>7353234.0500000007</v>
      </c>
      <c r="G11" s="236">
        <f>G9-G10-G12-G13</f>
        <v>1302014.1500000001</v>
      </c>
      <c r="H11" s="236">
        <f>D11-F11</f>
        <v>3439.609999999404</v>
      </c>
      <c r="I11" s="237"/>
    </row>
    <row r="12" spans="1:9" ht="45" x14ac:dyDescent="0.25">
      <c r="A12" s="235">
        <f>A11+1</f>
        <v>3</v>
      </c>
      <c r="B12" s="231" t="s">
        <v>160</v>
      </c>
      <c r="C12" s="236">
        <f>('проверка 2017'!M4+'проверка 2017'!N4)*'проверка 2017'!M33</f>
        <v>1951151.04</v>
      </c>
      <c r="D12" s="236">
        <f>ROUND($C$12/$C$9*D9,2)</f>
        <v>1311200.81</v>
      </c>
      <c r="E12" s="236">
        <f>ROUND($C$12/$C$9*E9,2)</f>
        <v>203349.06</v>
      </c>
      <c r="F12" s="236">
        <f>ROUND($C$12/$C$9*F9,2)</f>
        <v>1310587.75</v>
      </c>
      <c r="G12" s="236">
        <f>ROUND($C$12/$C$9*G9,2)</f>
        <v>232061.68</v>
      </c>
      <c r="H12" s="236">
        <f>D12-F12</f>
        <v>613.06000000005588</v>
      </c>
      <c r="I12" s="237"/>
    </row>
    <row r="13" spans="1:9" ht="55.5" hidden="1" customHeight="1" x14ac:dyDescent="0.25">
      <c r="A13" s="235">
        <f>A12+1</f>
        <v>4</v>
      </c>
      <c r="B13" s="231" t="s">
        <v>161</v>
      </c>
      <c r="C13" s="236">
        <f>[2]проверка!O29*[2]проверка!O4</f>
        <v>0</v>
      </c>
      <c r="D13" s="236">
        <f>ROUND($C$13/$C$9*D9,2)</f>
        <v>0</v>
      </c>
      <c r="E13" s="236">
        <f>ROUND($C$13/$C$9*E9,2)</f>
        <v>0</v>
      </c>
      <c r="F13" s="236">
        <f>ROUND($C$13/$C$9*F9,2)</f>
        <v>0</v>
      </c>
      <c r="G13" s="236">
        <f>ROUND($C$13/$C$9*G9,2)</f>
        <v>0</v>
      </c>
      <c r="H13" s="236">
        <f>D13-F13</f>
        <v>0</v>
      </c>
      <c r="I13" s="237"/>
    </row>
    <row r="14" spans="1:9" ht="164.25" hidden="1" customHeight="1" x14ac:dyDescent="0.25">
      <c r="A14" s="235">
        <f>A13+1</f>
        <v>5</v>
      </c>
      <c r="B14" s="231" t="s">
        <v>217</v>
      </c>
      <c r="C14" s="236"/>
      <c r="D14" s="236"/>
      <c r="E14" s="236"/>
      <c r="F14" s="236"/>
      <c r="G14" s="236"/>
      <c r="H14" s="236"/>
      <c r="I14" s="238"/>
    </row>
    <row r="16" spans="1:9" x14ac:dyDescent="0.25">
      <c r="B16" t="s">
        <v>9</v>
      </c>
    </row>
    <row r="17" spans="2:6" x14ac:dyDescent="0.25">
      <c r="B17" s="420" t="s">
        <v>258</v>
      </c>
      <c r="C17" s="420"/>
      <c r="D17" s="420"/>
      <c r="E17" s="420"/>
      <c r="F17" s="420"/>
    </row>
    <row r="18" spans="2:6" x14ac:dyDescent="0.25">
      <c r="B18" s="262"/>
      <c r="C18" s="262"/>
      <c r="D18" s="262"/>
      <c r="E18" s="262"/>
      <c r="F18" s="262"/>
    </row>
    <row r="19" spans="2:6" x14ac:dyDescent="0.25">
      <c r="B19" s="420" t="s">
        <v>259</v>
      </c>
      <c r="C19" s="420"/>
      <c r="D19" s="420"/>
      <c r="E19" s="420"/>
      <c r="F19" s="420"/>
    </row>
    <row r="20" spans="2:6" x14ac:dyDescent="0.25">
      <c r="B20" s="262"/>
      <c r="C20" s="262"/>
      <c r="D20" s="262"/>
      <c r="E20" s="262"/>
      <c r="F20" s="262"/>
    </row>
    <row r="21" spans="2:6" x14ac:dyDescent="0.25">
      <c r="B21" s="239"/>
      <c r="C21" s="239"/>
      <c r="D21" s="239"/>
      <c r="E21" s="239"/>
      <c r="F21" s="239"/>
    </row>
  </sheetData>
  <mergeCells count="14">
    <mergeCell ref="H7:H8"/>
    <mergeCell ref="I7:I8"/>
    <mergeCell ref="B17:F17"/>
    <mergeCell ref="B19:F19"/>
    <mergeCell ref="A1:I1"/>
    <mergeCell ref="A2:I2"/>
    <mergeCell ref="A3:I3"/>
    <mergeCell ref="A4:I4"/>
    <mergeCell ref="A5:E5"/>
    <mergeCell ref="A7:A8"/>
    <mergeCell ref="B7:B8"/>
    <mergeCell ref="C7:C8"/>
    <mergeCell ref="D7:E7"/>
    <mergeCell ref="F7:G7"/>
  </mergeCells>
  <pageMargins left="0" right="0" top="0.15748031496062992" bottom="0.15748031496062992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27"/>
  <sheetViews>
    <sheetView view="pageBreakPreview" topLeftCell="A100" zoomScaleSheetLayoutView="100" workbookViewId="0">
      <selection activeCell="F71" sqref="F71:F74"/>
    </sheetView>
  </sheetViews>
  <sheetFormatPr defaultRowHeight="12.75" x14ac:dyDescent="0.2"/>
  <cols>
    <col min="1" max="1" width="28.28515625" style="58" customWidth="1"/>
    <col min="2" max="2" width="5" style="58" customWidth="1"/>
    <col min="3" max="3" width="20.140625" style="58" customWidth="1"/>
    <col min="4" max="4" width="11.7109375" style="58" customWidth="1"/>
    <col min="5" max="5" width="12" style="58" customWidth="1"/>
    <col min="6" max="6" width="15.85546875" style="58" customWidth="1"/>
    <col min="7" max="10" width="14.28515625" style="59" customWidth="1"/>
    <col min="11" max="81" width="9.140625" style="59"/>
    <col min="82" max="16384" width="9.140625" style="58"/>
  </cols>
  <sheetData>
    <row r="1" spans="1:81" ht="36.75" customHeight="1" x14ac:dyDescent="0.2">
      <c r="A1" s="334" t="s">
        <v>137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81" ht="49.5" customHeight="1" x14ac:dyDescent="0.2">
      <c r="A2" s="176" t="s">
        <v>164</v>
      </c>
      <c r="B2" s="343" t="e">
        <f>#REF!</f>
        <v>#REF!</v>
      </c>
      <c r="C2" s="343"/>
      <c r="D2" s="343"/>
      <c r="E2" s="343"/>
      <c r="F2" s="343"/>
      <c r="G2" s="343"/>
      <c r="H2" s="343"/>
      <c r="I2" s="343"/>
      <c r="J2" s="343"/>
      <c r="K2" s="150"/>
      <c r="N2" s="150"/>
      <c r="O2" s="150"/>
    </row>
    <row r="3" spans="1:81" ht="59.25" customHeight="1" x14ac:dyDescent="0.25">
      <c r="A3" s="333" t="s">
        <v>163</v>
      </c>
      <c r="B3" s="333"/>
      <c r="C3" s="333"/>
      <c r="D3" s="333"/>
      <c r="E3" s="333"/>
      <c r="F3" s="333"/>
      <c r="G3" s="184" t="s">
        <v>158</v>
      </c>
      <c r="H3" s="184" t="s">
        <v>159</v>
      </c>
      <c r="I3" s="184" t="s">
        <v>160</v>
      </c>
      <c r="J3" s="184" t="s">
        <v>161</v>
      </c>
    </row>
    <row r="4" spans="1:81" ht="8.25" customHeight="1" x14ac:dyDescent="0.2"/>
    <row r="5" spans="1:81" ht="33.75" customHeight="1" x14ac:dyDescent="0.3">
      <c r="A5" s="347" t="s">
        <v>136</v>
      </c>
      <c r="B5" s="347"/>
      <c r="C5" s="347"/>
      <c r="D5" s="347"/>
      <c r="E5" s="347"/>
      <c r="F5" s="347"/>
      <c r="G5" s="347"/>
      <c r="H5" s="347"/>
      <c r="I5" s="347"/>
      <c r="J5" s="347"/>
    </row>
    <row r="6" spans="1:81" ht="25.5" customHeight="1" x14ac:dyDescent="0.3">
      <c r="A6" s="149" t="s">
        <v>135</v>
      </c>
      <c r="B6" s="147"/>
      <c r="C6" s="147"/>
      <c r="E6" s="147"/>
      <c r="F6" s="148">
        <f>G6+H6+I6+J6</f>
        <v>698</v>
      </c>
      <c r="G6" s="148">
        <f>'проверка 2017'!I4+'проверка 2017'!J4</f>
        <v>344</v>
      </c>
      <c r="H6" s="148">
        <f>'проверка 2017'!K4+'проверка 2017'!L4</f>
        <v>306</v>
      </c>
      <c r="I6" s="148">
        <f>'проверка 2017'!M4+'проверка 2017'!N4</f>
        <v>48</v>
      </c>
      <c r="J6" s="148">
        <f>'проверка 2017'!O4</f>
        <v>0</v>
      </c>
    </row>
    <row r="7" spans="1:81" ht="9" customHeight="1" thickBot="1" x14ac:dyDescent="0.25">
      <c r="M7" s="100"/>
      <c r="N7" s="100"/>
      <c r="O7" s="100"/>
      <c r="P7" s="100"/>
    </row>
    <row r="8" spans="1:81" ht="102.75" customHeight="1" thickBot="1" x14ac:dyDescent="0.25">
      <c r="A8" s="181" t="s">
        <v>134</v>
      </c>
      <c r="B8" s="182" t="s">
        <v>133</v>
      </c>
      <c r="C8" s="182" t="s">
        <v>4</v>
      </c>
      <c r="D8" s="182" t="s">
        <v>132</v>
      </c>
      <c r="E8" s="182" t="s">
        <v>3</v>
      </c>
      <c r="F8" s="183" t="s">
        <v>131</v>
      </c>
      <c r="G8" s="182" t="s">
        <v>132</v>
      </c>
      <c r="H8" s="182" t="s">
        <v>132</v>
      </c>
      <c r="I8" s="182" t="s">
        <v>132</v>
      </c>
      <c r="J8" s="182" t="s">
        <v>132</v>
      </c>
      <c r="M8" s="100"/>
      <c r="N8" s="100"/>
      <c r="O8" s="100"/>
      <c r="P8" s="100"/>
    </row>
    <row r="9" spans="1:81" ht="36.75" customHeight="1" thickBot="1" x14ac:dyDescent="0.25">
      <c r="A9" s="344" t="s">
        <v>130</v>
      </c>
      <c r="B9" s="345"/>
      <c r="C9" s="345"/>
      <c r="D9" s="345"/>
      <c r="E9" s="345"/>
      <c r="F9" s="345"/>
      <c r="G9" s="345"/>
      <c r="H9" s="345"/>
      <c r="I9" s="345"/>
      <c r="J9" s="346"/>
      <c r="M9" s="100"/>
      <c r="N9" s="100"/>
      <c r="O9" s="100"/>
      <c r="P9" s="100"/>
    </row>
    <row r="10" spans="1:81" ht="45.75" customHeight="1" x14ac:dyDescent="0.2">
      <c r="A10" s="141" t="s">
        <v>127</v>
      </c>
      <c r="B10" s="91" t="s">
        <v>101</v>
      </c>
      <c r="C10" s="146">
        <v>5</v>
      </c>
      <c r="D10" s="91">
        <f>ROUND(F10/F6,2)</f>
        <v>14508.43</v>
      </c>
      <c r="E10" s="91"/>
      <c r="F10" s="170">
        <f t="shared" ref="F10:I11" si="0">F16+F21</f>
        <v>10126887</v>
      </c>
      <c r="G10" s="170">
        <f>G16+G21</f>
        <v>10376.290000000001</v>
      </c>
      <c r="H10" s="170">
        <f t="shared" si="0"/>
        <v>18016.259999999998</v>
      </c>
      <c r="I10" s="170">
        <f t="shared" si="0"/>
        <v>21759.59</v>
      </c>
      <c r="J10" s="170">
        <f>J16+J21</f>
        <v>0</v>
      </c>
      <c r="K10" s="105">
        <f>свод!G10*свод!G6+свод!H10*свод!H6+свод!I10*свод!I6</f>
        <v>10126879.640000001</v>
      </c>
      <c r="L10" s="59">
        <f>K10/F6</f>
        <v>14508.423553008597</v>
      </c>
      <c r="M10" s="100"/>
      <c r="N10" s="100"/>
      <c r="O10" s="100"/>
      <c r="P10" s="100"/>
    </row>
    <row r="11" spans="1:81" ht="46.5" customHeight="1" x14ac:dyDescent="0.2">
      <c r="A11" s="139" t="s">
        <v>126</v>
      </c>
      <c r="B11" s="86" t="s">
        <v>101</v>
      </c>
      <c r="C11" s="137">
        <v>9</v>
      </c>
      <c r="D11" s="122">
        <f>ROUND(F11/F6,2)</f>
        <v>4381.55</v>
      </c>
      <c r="E11" s="86"/>
      <c r="F11" s="171">
        <f t="shared" si="0"/>
        <v>3058320</v>
      </c>
      <c r="G11" s="171">
        <f t="shared" si="0"/>
        <v>3133.6399999999976</v>
      </c>
      <c r="H11" s="171">
        <f t="shared" si="0"/>
        <v>5440.91</v>
      </c>
      <c r="I11" s="171">
        <f t="shared" si="0"/>
        <v>6571.3899999999958</v>
      </c>
      <c r="J11" s="171">
        <f>J17+J22</f>
        <v>0</v>
      </c>
      <c r="K11" s="105">
        <f>свод!G11*свод!G6+свод!H11*свод!H6+свод!I11*свод!I6</f>
        <v>3058317.3399999989</v>
      </c>
      <c r="L11" s="59">
        <f>K11/F6</f>
        <v>4381.5434670487093</v>
      </c>
      <c r="M11" s="100"/>
      <c r="N11" s="100"/>
      <c r="O11" s="100"/>
      <c r="P11" s="100"/>
    </row>
    <row r="12" spans="1:81" ht="22.5" x14ac:dyDescent="0.2">
      <c r="A12" s="139" t="s">
        <v>202</v>
      </c>
      <c r="B12" s="86" t="s">
        <v>101</v>
      </c>
      <c r="C12" s="137"/>
      <c r="D12" s="122">
        <f>ROUND(F12/F6,2)</f>
        <v>36.76</v>
      </c>
      <c r="E12" s="86"/>
      <c r="F12" s="122">
        <f>F23</f>
        <v>25660</v>
      </c>
      <c r="G12" s="171">
        <f>G23</f>
        <v>36.76</v>
      </c>
      <c r="H12" s="171">
        <f>H23</f>
        <v>36.76</v>
      </c>
      <c r="I12" s="122">
        <f>I23</f>
        <v>36.76</v>
      </c>
      <c r="J12" s="122">
        <f>J23</f>
        <v>0</v>
      </c>
      <c r="K12" s="105">
        <f>свод!G12*свод!G6+свод!H12*свод!H6+свод!I12*свод!I6</f>
        <v>25658.48</v>
      </c>
      <c r="L12" s="59">
        <f>K12/F6</f>
        <v>36.76</v>
      </c>
      <c r="M12" s="100"/>
      <c r="N12" s="100"/>
      <c r="O12" s="100"/>
      <c r="P12" s="100"/>
    </row>
    <row r="13" spans="1:81" ht="44.25" customHeight="1" x14ac:dyDescent="0.2">
      <c r="A13" s="144" t="s">
        <v>157</v>
      </c>
      <c r="B13" s="86" t="s">
        <v>101</v>
      </c>
      <c r="C13" s="86"/>
      <c r="D13" s="122">
        <f>ROUND(F13/F6,2)</f>
        <v>537.83000000000004</v>
      </c>
      <c r="E13" s="86"/>
      <c r="F13" s="171">
        <f>F18+F24</f>
        <v>375402</v>
      </c>
      <c r="G13" s="171">
        <f>G18+G24</f>
        <v>537.83000000000004</v>
      </c>
      <c r="H13" s="122">
        <f>H18+H24</f>
        <v>537.83000000000004</v>
      </c>
      <c r="I13" s="122">
        <f>I18+I24</f>
        <v>537.83000000000004</v>
      </c>
      <c r="J13" s="122">
        <f>J18+J24</f>
        <v>0</v>
      </c>
      <c r="K13" s="105">
        <f>свод!G13*свод!G6+свод!H13*свод!H6+свод!I13*свод!I6</f>
        <v>375405.34</v>
      </c>
      <c r="L13" s="59">
        <f>K13/F6</f>
        <v>537.83000000000004</v>
      </c>
      <c r="M13" s="100"/>
      <c r="N13" s="100"/>
      <c r="O13" s="100"/>
      <c r="P13" s="100"/>
    </row>
    <row r="14" spans="1:81" s="105" customFormat="1" ht="18" customHeight="1" thickBot="1" x14ac:dyDescent="0.25">
      <c r="A14" s="143" t="s">
        <v>18</v>
      </c>
      <c r="B14" s="136"/>
      <c r="C14" s="136"/>
      <c r="D14" s="136">
        <f>SUM(D10:E13)-0.01</f>
        <v>19464.560000000001</v>
      </c>
      <c r="E14" s="136"/>
      <c r="F14" s="136">
        <f>SUM(F10:F13)</f>
        <v>13586269</v>
      </c>
      <c r="G14" s="136">
        <f>IF(G6=0,0,G10+G11+G12)+IF(G8=0,0,G9/G6)+G13</f>
        <v>14084.519999999999</v>
      </c>
      <c r="H14" s="136">
        <f>IF(H6=0,0,H10+H11+H12)+IF(H6=0,0,H9/H6)+H13</f>
        <v>24031.759999999998</v>
      </c>
      <c r="I14" s="136">
        <f>IF(I6=0,0,I10+I11+I12)+IF(I6=0,0,I9/I6)+I13</f>
        <v>28905.569999999996</v>
      </c>
      <c r="J14" s="136">
        <f>IF(J6=0,0,(J10+J11+J12)+IF(J8=0,0,J9/J6)+J13)</f>
        <v>0</v>
      </c>
      <c r="K14" s="105">
        <f>свод!G14*свод!G6+свод!H14*свод!H6+свод!I14*свод!I6</f>
        <v>13586260.799999999</v>
      </c>
      <c r="L14" s="59">
        <f>K14/F6</f>
        <v>19464.557020057306</v>
      </c>
      <c r="M14" s="100"/>
      <c r="N14" s="100"/>
      <c r="O14" s="100"/>
      <c r="P14" s="100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</row>
    <row r="15" spans="1:81" s="100" customFormat="1" ht="31.5" customHeight="1" thickBot="1" x14ac:dyDescent="0.25">
      <c r="A15" s="339" t="s">
        <v>129</v>
      </c>
      <c r="B15" s="340"/>
      <c r="C15" s="340"/>
      <c r="D15" s="340"/>
      <c r="E15" s="340"/>
      <c r="F15" s="340"/>
      <c r="G15" s="340"/>
      <c r="H15" s="340"/>
      <c r="I15" s="340"/>
      <c r="J15" s="340"/>
    </row>
    <row r="16" spans="1:81" s="100" customFormat="1" ht="47.25" customHeight="1" x14ac:dyDescent="0.2">
      <c r="A16" s="141" t="s">
        <v>127</v>
      </c>
      <c r="B16" s="91" t="s">
        <v>101</v>
      </c>
      <c r="C16" s="91">
        <v>5</v>
      </c>
      <c r="D16" s="170">
        <f>ROUND(F16/F6,2)</f>
        <v>0</v>
      </c>
      <c r="E16" s="91"/>
      <c r="F16" s="170">
        <f>'пр.1+2 '!F9</f>
        <v>0</v>
      </c>
      <c r="G16" s="170">
        <f>IF(G$6=0,0,D16)</f>
        <v>0</v>
      </c>
      <c r="H16" s="170">
        <f>IF(H$6=0,0,D16)</f>
        <v>0</v>
      </c>
      <c r="I16" s="170">
        <f>IF(I$6=0,0,D16)</f>
        <v>0</v>
      </c>
      <c r="J16" s="90">
        <f>IF(J$6=0,0,D16)</f>
        <v>0</v>
      </c>
    </row>
    <row r="17" spans="1:81" s="100" customFormat="1" ht="57.75" customHeight="1" x14ac:dyDescent="0.2">
      <c r="A17" s="139" t="s">
        <v>126</v>
      </c>
      <c r="B17" s="216" t="s">
        <v>101</v>
      </c>
      <c r="C17" s="216">
        <v>9</v>
      </c>
      <c r="D17" s="172">
        <f>ROUND(F17/F6,2)</f>
        <v>0</v>
      </c>
      <c r="E17" s="216"/>
      <c r="F17" s="318">
        <f>'пр.1+2 '!G9</f>
        <v>0</v>
      </c>
      <c r="G17" s="172">
        <f>IF(G$6=0,0,D17)</f>
        <v>0</v>
      </c>
      <c r="H17" s="172">
        <f>IF(H$6=0,0,D17)</f>
        <v>0</v>
      </c>
      <c r="I17" s="172">
        <f>IF(I$6=0,0,D17)</f>
        <v>0</v>
      </c>
      <c r="J17" s="85">
        <f>IF(J$6=0,0,D17)</f>
        <v>0</v>
      </c>
    </row>
    <row r="18" spans="1:81" s="100" customFormat="1" ht="42.75" customHeight="1" x14ac:dyDescent="0.2">
      <c r="A18" s="144" t="s">
        <v>125</v>
      </c>
      <c r="B18" s="216" t="s">
        <v>101</v>
      </c>
      <c r="C18" s="216"/>
      <c r="D18" s="172">
        <f>ROUND(F18/F6,2)</f>
        <v>0</v>
      </c>
      <c r="E18" s="216"/>
      <c r="F18" s="172">
        <f>'пр.1+2 '!D13</f>
        <v>0</v>
      </c>
      <c r="G18" s="172">
        <f>IF(G$6=0,0,D18)</f>
        <v>0</v>
      </c>
      <c r="H18" s="172">
        <f>IF(H$6=0,0,D18)</f>
        <v>0</v>
      </c>
      <c r="I18" s="172">
        <f>IF(I$6=0,0,D18)</f>
        <v>0</v>
      </c>
      <c r="J18" s="85">
        <f>IF(J$6=0,0,D18)</f>
        <v>0</v>
      </c>
    </row>
    <row r="19" spans="1:81" s="100" customFormat="1" ht="21.75" customHeight="1" thickBot="1" x14ac:dyDescent="0.25">
      <c r="A19" s="143" t="s">
        <v>18</v>
      </c>
      <c r="B19" s="136"/>
      <c r="C19" s="136"/>
      <c r="D19" s="142">
        <f>SUM(D16:D18)</f>
        <v>0</v>
      </c>
      <c r="E19" s="136"/>
      <c r="F19" s="142">
        <f>SUM(F16:F18)</f>
        <v>0</v>
      </c>
      <c r="G19" s="142">
        <f>SUM(G16:G18)</f>
        <v>0</v>
      </c>
      <c r="H19" s="142">
        <f>SUM(H16:H18)</f>
        <v>0</v>
      </c>
      <c r="I19" s="142">
        <f>SUM(I16:I18)</f>
        <v>0</v>
      </c>
      <c r="J19" s="116">
        <f>SUM(J16:J18)</f>
        <v>0</v>
      </c>
    </row>
    <row r="20" spans="1:81" s="100" customFormat="1" ht="36.75" customHeight="1" thickBot="1" x14ac:dyDescent="0.25">
      <c r="A20" s="331" t="s">
        <v>128</v>
      </c>
      <c r="B20" s="332"/>
      <c r="C20" s="332"/>
      <c r="D20" s="332"/>
      <c r="E20" s="332"/>
      <c r="F20" s="332"/>
      <c r="G20" s="332"/>
      <c r="H20" s="332"/>
      <c r="I20" s="332"/>
      <c r="J20" s="332"/>
      <c r="M20" s="59"/>
      <c r="N20" s="59"/>
      <c r="O20" s="59"/>
      <c r="P20" s="59"/>
    </row>
    <row r="21" spans="1:81" s="100" customFormat="1" ht="46.5" customHeight="1" x14ac:dyDescent="0.2">
      <c r="A21" s="141" t="s">
        <v>127</v>
      </c>
      <c r="B21" s="91" t="s">
        <v>101</v>
      </c>
      <c r="C21" s="146">
        <v>5</v>
      </c>
      <c r="D21" s="170">
        <f>ROUND(F21/F6,2)</f>
        <v>14508.43</v>
      </c>
      <c r="E21" s="91"/>
      <c r="F21" s="170">
        <f>'пр.1+2 '!F38</f>
        <v>10126887</v>
      </c>
      <c r="G21" s="170">
        <f>IF(G6=0,0,ROUND((ROUND(('проверка 2017'!I18*'проверка 2017'!I4+'проверка 2017'!J18*'проверка 2017'!J4)/('проверка 2017'!I4+'проверка 2017'!J4),2)-свод!G37-свод!G23-свод!G24)/1.302,2))</f>
        <v>10376.290000000001</v>
      </c>
      <c r="H21" s="170">
        <f>IF(H6=0,0,ROUND((ROUND(('проверка 2017'!K18*'проверка 2017'!K4+'проверка 2017'!L18*'проверка 2017'!L4)/('проверка 2017'!K4+'проверка 2017'!L4),2)-свод!H37-свод!H23-свод!H24)/1.302,2))</f>
        <v>18016.259999999998</v>
      </c>
      <c r="I21" s="170">
        <f>IF(I6=0,0,ROUND((ROUND(('проверка 2017'!M18*'проверка 2017'!M4+'проверка 2017'!N18*'проверка 2017'!N4)/('проверка 2017'!M4+'проверка 2017'!N4),2)-свод!I37-свод!I23-свод!I24)/1.302,2))</f>
        <v>21759.59</v>
      </c>
      <c r="J21" s="90">
        <f>IF(J6=0,0,ROUND(('проверка 2017'!O18-свод!J37-свод!J23-свод!J24)/1.302,2))</f>
        <v>0</v>
      </c>
      <c r="M21" s="59"/>
      <c r="N21" s="59"/>
      <c r="O21" s="59"/>
      <c r="P21" s="59"/>
    </row>
    <row r="22" spans="1:81" s="100" customFormat="1" ht="54.75" customHeight="1" x14ac:dyDescent="0.2">
      <c r="A22" s="139" t="s">
        <v>126</v>
      </c>
      <c r="B22" s="86" t="s">
        <v>101</v>
      </c>
      <c r="C22" s="137">
        <v>9</v>
      </c>
      <c r="D22" s="171">
        <f>ROUND(F22/F6,2)</f>
        <v>4381.55</v>
      </c>
      <c r="E22" s="86"/>
      <c r="F22" s="319">
        <f>'пр.1+2 '!G38+'пр.1+2 '!D50+'пр.1+2 '!D51</f>
        <v>3058320</v>
      </c>
      <c r="G22" s="171">
        <f>IF(G6=0,0,ROUND(('проверка 2017'!I18*'проверка 2017'!I4+'проверка 2017'!J18*'проверка 2017'!J4)/('проверка 2017'!I4+'проверка 2017'!J4),2)-свод!G23-свод!G24-свод!G37-свод!G21)</f>
        <v>3133.6399999999976</v>
      </c>
      <c r="H22" s="171">
        <f>IF(H6=0,0,ROUND(('проверка 2017'!K18*'проверка 2017'!K4+'проверка 2017'!L18*'проверка 2017'!L4)/('проверка 2017'!K4+'проверка 2017'!L4),2)-свод!H23-свод!H24-свод!H37-свод!H21)</f>
        <v>5440.91</v>
      </c>
      <c r="I22" s="171">
        <f>IF(I6=0,0,ROUND(('проверка 2017'!N18*'проверка 2017'!N4+'проверка 2017'!M18*'проверка 2017'!M4)/('проверка 2017'!N4+'проверка 2017'!M4),2)-свод!I23-свод!I24-свод!I37-свод!I21)</f>
        <v>6571.3899999999958</v>
      </c>
      <c r="J22" s="145">
        <f>IF(J6=0,0,'проверка 2017'!O18-свод!J23-свод!J24-свод!J37-свод!J21)</f>
        <v>0</v>
      </c>
      <c r="N22" s="59"/>
      <c r="O22" s="59"/>
      <c r="P22" s="59"/>
    </row>
    <row r="23" spans="1:81" s="100" customFormat="1" ht="22.5" x14ac:dyDescent="0.2">
      <c r="A23" s="139" t="s">
        <v>203</v>
      </c>
      <c r="B23" s="86" t="s">
        <v>101</v>
      </c>
      <c r="C23" s="137"/>
      <c r="D23" s="171">
        <f>ROUND(F23/F6,2)</f>
        <v>36.76</v>
      </c>
      <c r="E23" s="86"/>
      <c r="F23" s="171">
        <f>'пр.1+2 '!D42</f>
        <v>25660</v>
      </c>
      <c r="G23" s="171">
        <f>IF(G$6=0,0,D23)</f>
        <v>36.76</v>
      </c>
      <c r="H23" s="171">
        <f>IF(H$6=0,0,D23)</f>
        <v>36.76</v>
      </c>
      <c r="I23" s="171">
        <f>IF(I$6=0,0,D23)</f>
        <v>36.76</v>
      </c>
      <c r="J23" s="145">
        <f>IF(J$6=0,0,D23)</f>
        <v>0</v>
      </c>
      <c r="M23" s="59"/>
      <c r="N23" s="59"/>
      <c r="O23" s="59"/>
      <c r="P23" s="59"/>
    </row>
    <row r="24" spans="1:81" s="100" customFormat="1" ht="44.25" customHeight="1" x14ac:dyDescent="0.2">
      <c r="A24" s="144" t="s">
        <v>125</v>
      </c>
      <c r="B24" s="86" t="s">
        <v>101</v>
      </c>
      <c r="C24" s="86"/>
      <c r="D24" s="172">
        <f>ROUND(F24/F6,2)</f>
        <v>537.83000000000004</v>
      </c>
      <c r="E24" s="86"/>
      <c r="F24" s="172">
        <f>'пр.1+2 '!D45+'пр.1+2 '!D46+'пр.1+2 '!D43+'пр.1+2 '!D44</f>
        <v>375402</v>
      </c>
      <c r="G24" s="172">
        <f>IF(G$6=0,0,$D$24)</f>
        <v>537.83000000000004</v>
      </c>
      <c r="H24" s="172">
        <f>IF(H$6=0,0,$D$24)</f>
        <v>537.83000000000004</v>
      </c>
      <c r="I24" s="172">
        <f>IF(I$6=0,0,$D$24)</f>
        <v>537.83000000000004</v>
      </c>
      <c r="J24" s="85">
        <f>IF(J$6=0,0,$D$24)</f>
        <v>0</v>
      </c>
      <c r="M24" s="59"/>
      <c r="N24" s="59"/>
      <c r="O24" s="59"/>
      <c r="P24" s="59"/>
    </row>
    <row r="25" spans="1:81" s="100" customFormat="1" ht="21.75" customHeight="1" thickBot="1" x14ac:dyDescent="0.25">
      <c r="A25" s="143" t="s">
        <v>18</v>
      </c>
      <c r="B25" s="136"/>
      <c r="C25" s="136"/>
      <c r="D25" s="142">
        <f t="shared" ref="D25:J25" si="1">SUM(D21:D24)</f>
        <v>19464.57</v>
      </c>
      <c r="E25" s="142">
        <f t="shared" si="1"/>
        <v>0</v>
      </c>
      <c r="F25" s="142">
        <f t="shared" si="1"/>
        <v>13586269</v>
      </c>
      <c r="G25" s="142">
        <f t="shared" si="1"/>
        <v>14084.519999999999</v>
      </c>
      <c r="H25" s="142">
        <f t="shared" si="1"/>
        <v>24031.759999999998</v>
      </c>
      <c r="I25" s="142">
        <f t="shared" si="1"/>
        <v>28905.569999999996</v>
      </c>
      <c r="J25" s="116">
        <f t="shared" si="1"/>
        <v>0</v>
      </c>
      <c r="K25" s="100">
        <f>G25*G6+H25*H6+I6*I25</f>
        <v>13586260.799999999</v>
      </c>
      <c r="L25" s="59">
        <f>K25/F6</f>
        <v>19464.557020057306</v>
      </c>
      <c r="M25" s="59"/>
      <c r="N25" s="59"/>
      <c r="O25" s="59"/>
    </row>
    <row r="26" spans="1:81" ht="21" customHeight="1" x14ac:dyDescent="0.2">
      <c r="A26" s="325" t="s">
        <v>198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81" ht="33.75" customHeight="1" thickBot="1" x14ac:dyDescent="0.25">
      <c r="A27" s="326" t="s">
        <v>124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81" ht="44.25" customHeight="1" x14ac:dyDescent="0.2">
      <c r="A28" s="141" t="s">
        <v>121</v>
      </c>
      <c r="B28" s="91" t="s">
        <v>101</v>
      </c>
      <c r="C28" s="91">
        <v>5</v>
      </c>
      <c r="D28" s="91">
        <f t="shared" ref="D28:F30" si="2">D34+D39</f>
        <v>6412.01</v>
      </c>
      <c r="E28" s="91"/>
      <c r="F28" s="214">
        <f t="shared" si="2"/>
        <v>4475580</v>
      </c>
      <c r="G28" s="91">
        <f>IF(G$6=0,0,D28)</f>
        <v>6412.01</v>
      </c>
      <c r="H28" s="91">
        <f>IF(H$6=0,0,D28)</f>
        <v>6412.01</v>
      </c>
      <c r="I28" s="91">
        <f>IF(I$6=0,0,D28)</f>
        <v>6412.01</v>
      </c>
      <c r="J28" s="91">
        <f>IF(J$6=0,0,D28)</f>
        <v>0</v>
      </c>
    </row>
    <row r="29" spans="1:81" ht="48" hidden="1" customHeight="1" x14ac:dyDescent="0.2">
      <c r="A29" s="139" t="s">
        <v>121</v>
      </c>
      <c r="B29" s="86" t="s">
        <v>101</v>
      </c>
      <c r="C29" s="86">
        <v>4</v>
      </c>
      <c r="D29" s="86">
        <f t="shared" si="2"/>
        <v>0</v>
      </c>
      <c r="E29" s="86"/>
      <c r="F29" s="185">
        <f t="shared" si="2"/>
        <v>0</v>
      </c>
      <c r="G29" s="86">
        <f>IF(G$6=0,0,D29)</f>
        <v>0</v>
      </c>
      <c r="H29" s="86">
        <f>IF(H$6=0,0,D29)</f>
        <v>0</v>
      </c>
      <c r="I29" s="86">
        <f>IF(I$6=0,0,D29)</f>
        <v>0</v>
      </c>
      <c r="J29" s="86">
        <f>IF(J$6=0,0,D29)</f>
        <v>0</v>
      </c>
    </row>
    <row r="30" spans="1:81" ht="56.25" customHeight="1" x14ac:dyDescent="0.2">
      <c r="A30" s="139" t="s">
        <v>120</v>
      </c>
      <c r="B30" s="86" t="s">
        <v>101</v>
      </c>
      <c r="C30" s="86">
        <v>9</v>
      </c>
      <c r="D30" s="86">
        <f t="shared" si="2"/>
        <v>1936.43</v>
      </c>
      <c r="E30" s="86"/>
      <c r="F30" s="215">
        <f>F36+F41</f>
        <v>1351625</v>
      </c>
      <c r="G30" s="86">
        <f>IF(G$6=0,0,D30)</f>
        <v>1936.43</v>
      </c>
      <c r="H30" s="86">
        <f>IF(H$6=0,0,D30)</f>
        <v>1936.43</v>
      </c>
      <c r="I30" s="86">
        <f>IF(I$6=0,0,D30)</f>
        <v>1936.43</v>
      </c>
      <c r="J30" s="86">
        <f>IF(J$6=0,0,D30)</f>
        <v>0</v>
      </c>
    </row>
    <row r="31" spans="1:81" ht="26.25" customHeight="1" x14ac:dyDescent="0.2">
      <c r="A31" s="139" t="s">
        <v>119</v>
      </c>
      <c r="B31" s="86" t="s">
        <v>101</v>
      </c>
      <c r="C31" s="86">
        <v>2</v>
      </c>
      <c r="D31" s="86">
        <f>D42</f>
        <v>0.86</v>
      </c>
      <c r="E31" s="86"/>
      <c r="F31" s="85">
        <f>F42</f>
        <v>600</v>
      </c>
      <c r="G31" s="86">
        <f>IF(G$6=0,0,D31)</f>
        <v>0.86</v>
      </c>
      <c r="H31" s="86">
        <f>IF(H$6=0,0,D31)</f>
        <v>0.86</v>
      </c>
      <c r="I31" s="86">
        <f>IF(I$6=0,0,D31)</f>
        <v>0.86</v>
      </c>
      <c r="J31" s="86">
        <f>IF(J$6=0,0,D31)</f>
        <v>0</v>
      </c>
    </row>
    <row r="32" spans="1:81" s="105" customFormat="1" ht="25.5" customHeight="1" thickBot="1" x14ac:dyDescent="0.25">
      <c r="A32" s="138" t="s">
        <v>18</v>
      </c>
      <c r="B32" s="136"/>
      <c r="C32" s="136"/>
      <c r="D32" s="142">
        <f>SUM(D28:D31)</f>
        <v>8349.3000000000011</v>
      </c>
      <c r="E32" s="136"/>
      <c r="F32" s="116">
        <f>SUM(F28:F31)</f>
        <v>5827805</v>
      </c>
      <c r="G32" s="142">
        <f>SUM(G28:G31)</f>
        <v>8349.3000000000011</v>
      </c>
      <c r="H32" s="142">
        <f>SUM(H28:H31)</f>
        <v>8349.3000000000011</v>
      </c>
      <c r="I32" s="142">
        <f>SUM(I28:I31)</f>
        <v>8349.3000000000011</v>
      </c>
      <c r="J32" s="142">
        <f>SUM(J28:J31)</f>
        <v>0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</row>
    <row r="33" spans="1:81" ht="48" customHeight="1" thickBot="1" x14ac:dyDescent="0.25">
      <c r="A33" s="327" t="s">
        <v>123</v>
      </c>
      <c r="B33" s="327"/>
      <c r="C33" s="327"/>
      <c r="D33" s="327"/>
      <c r="E33" s="327"/>
      <c r="F33" s="327"/>
      <c r="G33" s="327"/>
      <c r="H33" s="327"/>
      <c r="I33" s="327"/>
      <c r="J33" s="327"/>
      <c r="K33" s="59">
        <f>K34+K36+G23+G24</f>
        <v>22432.960000000003</v>
      </c>
      <c r="L33" s="59">
        <f>L34+L36+H23+H24</f>
        <v>32380.199999999997</v>
      </c>
      <c r="M33" s="59">
        <f>M34+M36+I23+I24</f>
        <v>37254.01</v>
      </c>
      <c r="N33" s="59">
        <f>K33-('проверка 2017'!I18+'проверка 2017'!J18)</f>
        <v>-51290.459999999992</v>
      </c>
      <c r="O33" s="59">
        <f>L33-('проверка 2017'!K18+'проверка 2017'!L18)</f>
        <v>57.349999999994907</v>
      </c>
      <c r="P33" s="59">
        <f>M33-('проверка 2017'!M18+'проверка 2017'!N18)</f>
        <v>57.349999999998545</v>
      </c>
    </row>
    <row r="34" spans="1:81" ht="45.75" customHeight="1" x14ac:dyDescent="0.2">
      <c r="A34" s="141" t="s">
        <v>121</v>
      </c>
      <c r="B34" s="91" t="s">
        <v>101</v>
      </c>
      <c r="C34" s="91">
        <v>5</v>
      </c>
      <c r="D34" s="91">
        <f>ROUND(F34/F6,2)</f>
        <v>6412.01</v>
      </c>
      <c r="E34" s="91">
        <v>1</v>
      </c>
      <c r="F34" s="91">
        <f>'пр.1+2 '!F88</f>
        <v>4475580</v>
      </c>
      <c r="G34" s="91">
        <f>IF(G$6=0,0,D34)</f>
        <v>6412.01</v>
      </c>
      <c r="H34" s="91">
        <f>IF(H$6=0,0,D34)</f>
        <v>6412.01</v>
      </c>
      <c r="I34" s="91">
        <f>IF(I$6=0,0,D34)</f>
        <v>6412.01</v>
      </c>
      <c r="J34" s="133">
        <f>IF(J$6=0,0,D34)</f>
        <v>0</v>
      </c>
      <c r="K34" s="59">
        <f t="shared" ref="K34:M35" si="3">G34+G21</f>
        <v>16788.300000000003</v>
      </c>
      <c r="L34" s="161">
        <f>H34+H21</f>
        <v>24428.269999999997</v>
      </c>
      <c r="M34" s="59">
        <f t="shared" si="3"/>
        <v>28171.599999999999</v>
      </c>
    </row>
    <row r="35" spans="1:81" ht="48" hidden="1" customHeight="1" x14ac:dyDescent="0.2">
      <c r="A35" s="139" t="s">
        <v>121</v>
      </c>
      <c r="B35" s="216" t="s">
        <v>101</v>
      </c>
      <c r="C35" s="216"/>
      <c r="D35" s="216"/>
      <c r="E35" s="216"/>
      <c r="F35" s="216"/>
      <c r="G35" s="216">
        <f>IF(G$6=0,0,D35)</f>
        <v>0</v>
      </c>
      <c r="H35" s="216">
        <f>IF(H$6=0,0,D35)</f>
        <v>0</v>
      </c>
      <c r="I35" s="216">
        <f>IF(I$6=0,0,D35)</f>
        <v>0</v>
      </c>
      <c r="J35" s="185">
        <f>IF(J$6=0,0,D35)</f>
        <v>0</v>
      </c>
      <c r="K35" s="59">
        <f t="shared" si="3"/>
        <v>3133.6399999999976</v>
      </c>
      <c r="L35" s="59">
        <f t="shared" si="3"/>
        <v>5440.91</v>
      </c>
      <c r="M35" s="59">
        <f t="shared" si="3"/>
        <v>6571.3899999999958</v>
      </c>
    </row>
    <row r="36" spans="1:81" ht="57" customHeight="1" x14ac:dyDescent="0.2">
      <c r="A36" s="139" t="s">
        <v>120</v>
      </c>
      <c r="B36" s="216" t="s">
        <v>101</v>
      </c>
      <c r="C36" s="216">
        <v>9</v>
      </c>
      <c r="D36" s="216">
        <f>ROUND(F36/F6,2)</f>
        <v>1936.43</v>
      </c>
      <c r="E36" s="216">
        <v>1</v>
      </c>
      <c r="F36" s="318">
        <f>'пр.1+2 '!G88+'пр.1+2 '!D94+'пр.1+2 '!D95</f>
        <v>1351625</v>
      </c>
      <c r="G36" s="216">
        <f>IF(G$6=0,0,D36)</f>
        <v>1936.43</v>
      </c>
      <c r="H36" s="216">
        <f>IF(H$6=0,0,D36)</f>
        <v>1936.43</v>
      </c>
      <c r="I36" s="216">
        <f>IF(I$6=0,0,D36)</f>
        <v>1936.43</v>
      </c>
      <c r="J36" s="185">
        <f>IF(J$6=0,0,D36)</f>
        <v>0</v>
      </c>
      <c r="K36" s="59">
        <f>G36+G22</f>
        <v>5070.0699999999979</v>
      </c>
      <c r="L36" s="59">
        <f>H36+H22</f>
        <v>7377.34</v>
      </c>
      <c r="M36" s="59">
        <f>I36+I22</f>
        <v>8507.8199999999961</v>
      </c>
    </row>
    <row r="37" spans="1:81" s="105" customFormat="1" ht="26.25" customHeight="1" thickBot="1" x14ac:dyDescent="0.25">
      <c r="A37" s="138" t="s">
        <v>18</v>
      </c>
      <c r="B37" s="136"/>
      <c r="C37" s="136"/>
      <c r="D37" s="142">
        <f>SUM(D34:D36)</f>
        <v>8348.44</v>
      </c>
      <c r="E37" s="136"/>
      <c r="F37" s="142">
        <f>SUM(F34:F36)</f>
        <v>5827205</v>
      </c>
      <c r="G37" s="142">
        <f>SUM(G34:G36)</f>
        <v>8348.44</v>
      </c>
      <c r="H37" s="142">
        <f>SUM(H34:H36)</f>
        <v>8348.44</v>
      </c>
      <c r="I37" s="142">
        <f>SUM(I34:I36)</f>
        <v>8348.44</v>
      </c>
      <c r="J37" s="116">
        <f>SUM(J34:J36)</f>
        <v>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</row>
    <row r="38" spans="1:81" ht="48" customHeight="1" thickBot="1" x14ac:dyDescent="0.25">
      <c r="A38" s="326" t="s">
        <v>122</v>
      </c>
      <c r="B38" s="326"/>
      <c r="C38" s="326"/>
      <c r="D38" s="326"/>
      <c r="E38" s="326"/>
      <c r="F38" s="326"/>
      <c r="G38" s="326"/>
      <c r="H38" s="326"/>
      <c r="I38" s="326"/>
      <c r="J38" s="326"/>
    </row>
    <row r="39" spans="1:81" ht="34.5" customHeight="1" x14ac:dyDescent="0.2">
      <c r="A39" s="141" t="s">
        <v>121</v>
      </c>
      <c r="B39" s="91" t="s">
        <v>101</v>
      </c>
      <c r="C39" s="91">
        <v>5</v>
      </c>
      <c r="D39" s="91">
        <f>ROUND(F39/F6,2)</f>
        <v>0</v>
      </c>
      <c r="E39" s="91">
        <v>1</v>
      </c>
      <c r="F39" s="90">
        <f>'пр.1+2 '!F70</f>
        <v>0</v>
      </c>
      <c r="G39" s="91">
        <f>IF(G$6=0,0,D39)</f>
        <v>0</v>
      </c>
      <c r="H39" s="91">
        <f>IF(H$6=0,0,D39)</f>
        <v>0</v>
      </c>
      <c r="I39" s="91">
        <f>IF(I$6=0,0,D39)</f>
        <v>0</v>
      </c>
      <c r="J39" s="91">
        <f>IF(J$6=0,0,D39)</f>
        <v>0</v>
      </c>
    </row>
    <row r="40" spans="1:81" ht="48" hidden="1" customHeight="1" x14ac:dyDescent="0.2">
      <c r="A40" s="140" t="s">
        <v>121</v>
      </c>
      <c r="B40" s="86" t="s">
        <v>101</v>
      </c>
      <c r="C40" s="137">
        <v>4</v>
      </c>
      <c r="D40" s="122"/>
      <c r="E40" s="86"/>
      <c r="F40" s="85"/>
      <c r="G40" s="122">
        <f>IF(G$6=0,0,D40)</f>
        <v>0</v>
      </c>
      <c r="H40" s="122">
        <f>IF(H$6=0,0,D40)</f>
        <v>0</v>
      </c>
      <c r="I40" s="122">
        <f>IF(I$6=0,0,D40)</f>
        <v>0</v>
      </c>
      <c r="J40" s="122">
        <f>IF(J$6=0,0,D40)</f>
        <v>0</v>
      </c>
    </row>
    <row r="41" spans="1:81" ht="48" customHeight="1" x14ac:dyDescent="0.2">
      <c r="A41" s="140" t="s">
        <v>120</v>
      </c>
      <c r="B41" s="86" t="s">
        <v>101</v>
      </c>
      <c r="C41" s="137">
        <v>9</v>
      </c>
      <c r="D41" s="122">
        <f>ROUND(F41/F6,2)</f>
        <v>0</v>
      </c>
      <c r="E41" s="86">
        <v>1</v>
      </c>
      <c r="F41" s="298">
        <f>'пр.1+2 '!G70+'пр.1+2 '!D77+'пр.1+2 '!D78</f>
        <v>0</v>
      </c>
      <c r="G41" s="122">
        <f>IF(G$6=0,0,D41)</f>
        <v>0</v>
      </c>
      <c r="H41" s="122">
        <f>IF(H$6=0,0,D41)</f>
        <v>0</v>
      </c>
      <c r="I41" s="122">
        <f>IF(I$6=0,0,D41)</f>
        <v>0</v>
      </c>
      <c r="J41" s="122">
        <f>IF(J$6=0,0,D41)</f>
        <v>0</v>
      </c>
    </row>
    <row r="42" spans="1:81" ht="26.25" customHeight="1" x14ac:dyDescent="0.2">
      <c r="A42" s="139" t="s">
        <v>119</v>
      </c>
      <c r="B42" s="86" t="s">
        <v>101</v>
      </c>
      <c r="C42" s="137">
        <v>12</v>
      </c>
      <c r="D42" s="122">
        <f>ROUND(F42/F6,2)</f>
        <v>0.86</v>
      </c>
      <c r="E42" s="86">
        <v>1</v>
      </c>
      <c r="F42" s="85">
        <f>'пр.1+2 '!D73</f>
        <v>600</v>
      </c>
      <c r="G42" s="122">
        <f>IF(G$6=0,0,D42)</f>
        <v>0.86</v>
      </c>
      <c r="H42" s="122">
        <f>IF(H$6=0,0,D42)</f>
        <v>0.86</v>
      </c>
      <c r="I42" s="122">
        <f>IF(I$6=0,0,D42)</f>
        <v>0.86</v>
      </c>
      <c r="J42" s="122">
        <f>IF(J$6=0,0,D42)</f>
        <v>0</v>
      </c>
    </row>
    <row r="43" spans="1:81" s="105" customFormat="1" ht="20.25" customHeight="1" thickBot="1" x14ac:dyDescent="0.25">
      <c r="A43" s="138" t="s">
        <v>18</v>
      </c>
      <c r="B43" s="136"/>
      <c r="C43" s="136"/>
      <c r="D43" s="116">
        <f>SUM(D39:D42)</f>
        <v>0.86</v>
      </c>
      <c r="E43" s="136"/>
      <c r="F43" s="116">
        <f>SUM(F39:F42)</f>
        <v>600</v>
      </c>
      <c r="G43" s="116">
        <f>SUM(G39:G42)</f>
        <v>0.86</v>
      </c>
      <c r="H43" s="116">
        <f>SUM(H39:H42)</f>
        <v>0.86</v>
      </c>
      <c r="I43" s="116">
        <f>SUM(I39:I42)</f>
        <v>0.86</v>
      </c>
      <c r="J43" s="116">
        <f>SUM(J39:J42)</f>
        <v>0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</row>
    <row r="44" spans="1:81" ht="21.75" customHeight="1" thickBot="1" x14ac:dyDescent="0.25">
      <c r="A44" s="348" t="s">
        <v>118</v>
      </c>
      <c r="B44" s="349"/>
      <c r="C44" s="349"/>
      <c r="D44" s="349"/>
      <c r="E44" s="349"/>
      <c r="F44" s="349"/>
      <c r="G44" s="349"/>
      <c r="H44" s="349"/>
      <c r="I44" s="349"/>
      <c r="J44" s="349"/>
    </row>
    <row r="45" spans="1:81" x14ac:dyDescent="0.2">
      <c r="A45" s="15" t="s">
        <v>117</v>
      </c>
      <c r="B45" s="91" t="s">
        <v>101</v>
      </c>
      <c r="C45" s="91">
        <v>12</v>
      </c>
      <c r="D45" s="91">
        <f>ROUND(F45/F6,2)</f>
        <v>96.21</v>
      </c>
      <c r="E45" s="91"/>
      <c r="F45" s="320">
        <f>пр.3!F6+пр.3!F7+пр.3!F8</f>
        <v>67155.600000000006</v>
      </c>
      <c r="G45" s="91">
        <f t="shared" ref="G45:G62" si="4">IF(G$6=0,0,D45)</f>
        <v>96.21</v>
      </c>
      <c r="H45" s="91">
        <f t="shared" ref="H45:H62" si="5">IF(H$6=0,0,D45)</f>
        <v>96.21</v>
      </c>
      <c r="I45" s="91">
        <f t="shared" ref="I45:I62" si="6">IF(I$6=0,0,D45)</f>
        <v>96.21</v>
      </c>
      <c r="J45" s="91">
        <f t="shared" ref="J45:J62" si="7">IF(J$6=0,0,D45)</f>
        <v>0</v>
      </c>
    </row>
    <row r="46" spans="1:81" ht="14.25" customHeight="1" x14ac:dyDescent="0.2">
      <c r="A46" s="12" t="s">
        <v>116</v>
      </c>
      <c r="B46" s="86" t="s">
        <v>101</v>
      </c>
      <c r="C46" s="86">
        <v>12</v>
      </c>
      <c r="D46" s="122">
        <f>ROUND(F46/F6,2)</f>
        <v>4.42</v>
      </c>
      <c r="E46" s="86"/>
      <c r="F46" s="321">
        <f>пр.3!F9</f>
        <v>3082.2</v>
      </c>
      <c r="G46" s="122">
        <f t="shared" si="4"/>
        <v>4.42</v>
      </c>
      <c r="H46" s="122">
        <f t="shared" si="5"/>
        <v>4.42</v>
      </c>
      <c r="I46" s="122">
        <f t="shared" si="6"/>
        <v>4.42</v>
      </c>
      <c r="J46" s="122">
        <f t="shared" si="7"/>
        <v>0</v>
      </c>
    </row>
    <row r="47" spans="1:81" x14ac:dyDescent="0.2">
      <c r="A47" s="12" t="s">
        <v>115</v>
      </c>
      <c r="B47" s="86" t="s">
        <v>101</v>
      </c>
      <c r="C47" s="86">
        <v>12</v>
      </c>
      <c r="D47" s="122">
        <f>ROUND(F47/F6,2)</f>
        <v>17.190000000000001</v>
      </c>
      <c r="E47" s="86"/>
      <c r="F47" s="321">
        <f>пр.3!F10</f>
        <v>12000</v>
      </c>
      <c r="G47" s="122">
        <f t="shared" si="4"/>
        <v>17.190000000000001</v>
      </c>
      <c r="H47" s="122">
        <f t="shared" si="5"/>
        <v>17.190000000000001</v>
      </c>
      <c r="I47" s="122">
        <f t="shared" si="6"/>
        <v>17.190000000000001</v>
      </c>
      <c r="J47" s="122">
        <f t="shared" si="7"/>
        <v>0</v>
      </c>
    </row>
    <row r="48" spans="1:81" ht="25.5" x14ac:dyDescent="0.2">
      <c r="A48" s="12" t="s">
        <v>182</v>
      </c>
      <c r="B48" s="86" t="s">
        <v>101</v>
      </c>
      <c r="C48" s="86"/>
      <c r="D48" s="122">
        <f>ROUND(F48/F6,2)</f>
        <v>0</v>
      </c>
      <c r="E48" s="86"/>
      <c r="F48" s="321">
        <f>пр.3!F11</f>
        <v>0</v>
      </c>
      <c r="G48" s="122">
        <f t="shared" si="4"/>
        <v>0</v>
      </c>
      <c r="H48" s="122">
        <f t="shared" si="5"/>
        <v>0</v>
      </c>
      <c r="I48" s="122">
        <f t="shared" si="6"/>
        <v>0</v>
      </c>
      <c r="J48" s="122">
        <f t="shared" si="7"/>
        <v>0</v>
      </c>
    </row>
    <row r="49" spans="1:81" ht="25.5" x14ac:dyDescent="0.2">
      <c r="A49" s="12" t="s">
        <v>183</v>
      </c>
      <c r="B49" s="86" t="s">
        <v>101</v>
      </c>
      <c r="C49" s="86">
        <v>12</v>
      </c>
      <c r="D49" s="122">
        <f>ROUND(F49/F6,2)</f>
        <v>38.729999999999997</v>
      </c>
      <c r="E49" s="86"/>
      <c r="F49" s="321">
        <f>пр.3!F12</f>
        <v>27036</v>
      </c>
      <c r="G49" s="122">
        <f t="shared" si="4"/>
        <v>38.729999999999997</v>
      </c>
      <c r="H49" s="122">
        <f t="shared" si="5"/>
        <v>38.729999999999997</v>
      </c>
      <c r="I49" s="122">
        <f t="shared" si="6"/>
        <v>38.729999999999997</v>
      </c>
      <c r="J49" s="122">
        <f t="shared" si="7"/>
        <v>0</v>
      </c>
    </row>
    <row r="50" spans="1:81" x14ac:dyDescent="0.2">
      <c r="A50" s="12" t="s">
        <v>114</v>
      </c>
      <c r="B50" s="86" t="s">
        <v>101</v>
      </c>
      <c r="C50" s="86">
        <v>12</v>
      </c>
      <c r="D50" s="122">
        <f>ROUND(F50/F6,2)</f>
        <v>20.58</v>
      </c>
      <c r="E50" s="86"/>
      <c r="F50" s="321">
        <f>пр.3!F16</f>
        <v>14363.64</v>
      </c>
      <c r="G50" s="122">
        <f t="shared" si="4"/>
        <v>20.58</v>
      </c>
      <c r="H50" s="122">
        <f t="shared" si="5"/>
        <v>20.58</v>
      </c>
      <c r="I50" s="122">
        <f t="shared" si="6"/>
        <v>20.58</v>
      </c>
      <c r="J50" s="122">
        <f t="shared" si="7"/>
        <v>0</v>
      </c>
    </row>
    <row r="51" spans="1:81" x14ac:dyDescent="0.2">
      <c r="A51" s="12" t="s">
        <v>184</v>
      </c>
      <c r="B51" s="86" t="s">
        <v>101</v>
      </c>
      <c r="C51" s="86">
        <v>12</v>
      </c>
      <c r="D51" s="122">
        <f>ROUND(F51/F6,2)</f>
        <v>0</v>
      </c>
      <c r="E51" s="86"/>
      <c r="F51" s="321">
        <f>пр.3!F21</f>
        <v>0</v>
      </c>
      <c r="G51" s="122">
        <f t="shared" si="4"/>
        <v>0</v>
      </c>
      <c r="H51" s="122">
        <f t="shared" si="5"/>
        <v>0</v>
      </c>
      <c r="I51" s="122">
        <f t="shared" si="6"/>
        <v>0</v>
      </c>
      <c r="J51" s="122">
        <f t="shared" si="7"/>
        <v>0</v>
      </c>
    </row>
    <row r="52" spans="1:81" ht="23.25" customHeight="1" x14ac:dyDescent="0.2">
      <c r="A52" s="12" t="s">
        <v>185</v>
      </c>
      <c r="B52" s="86" t="s">
        <v>101</v>
      </c>
      <c r="C52" s="86">
        <v>12</v>
      </c>
      <c r="D52" s="122">
        <f>ROUND(F52/F6,2)</f>
        <v>25.79</v>
      </c>
      <c r="E52" s="86"/>
      <c r="F52" s="321">
        <f>пр.3!F13</f>
        <v>18000</v>
      </c>
      <c r="G52" s="122">
        <f t="shared" si="4"/>
        <v>25.79</v>
      </c>
      <c r="H52" s="122">
        <f t="shared" si="5"/>
        <v>25.79</v>
      </c>
      <c r="I52" s="122">
        <f t="shared" si="6"/>
        <v>25.79</v>
      </c>
      <c r="J52" s="122">
        <f t="shared" si="7"/>
        <v>0</v>
      </c>
    </row>
    <row r="53" spans="1:81" x14ac:dyDescent="0.2">
      <c r="A53" s="12" t="str">
        <f>пр.3!A15</f>
        <v>поверка ремонт теплосчетчиков</v>
      </c>
      <c r="B53" s="86" t="s">
        <v>101</v>
      </c>
      <c r="C53" s="86">
        <v>12</v>
      </c>
      <c r="D53" s="122">
        <f>ROUND(F53/F6,2)</f>
        <v>5.73</v>
      </c>
      <c r="E53" s="86"/>
      <c r="F53" s="321">
        <f>пр.3!F15</f>
        <v>4000</v>
      </c>
      <c r="G53" s="122">
        <f t="shared" si="4"/>
        <v>5.73</v>
      </c>
      <c r="H53" s="122">
        <f t="shared" si="5"/>
        <v>5.73</v>
      </c>
      <c r="I53" s="122">
        <f t="shared" si="6"/>
        <v>5.73</v>
      </c>
      <c r="J53" s="122">
        <f t="shared" si="7"/>
        <v>0</v>
      </c>
    </row>
    <row r="54" spans="1:81" ht="25.5" x14ac:dyDescent="0.2">
      <c r="A54" s="12" t="s">
        <v>56</v>
      </c>
      <c r="B54" s="86" t="s">
        <v>101</v>
      </c>
      <c r="C54" s="86"/>
      <c r="D54" s="122">
        <f>ROUND(F54/F6,2)</f>
        <v>18.91</v>
      </c>
      <c r="E54" s="86"/>
      <c r="F54" s="321">
        <f>пр.3!F22</f>
        <v>13200</v>
      </c>
      <c r="G54" s="122">
        <f t="shared" si="4"/>
        <v>18.91</v>
      </c>
      <c r="H54" s="122">
        <f t="shared" si="5"/>
        <v>18.91</v>
      </c>
      <c r="I54" s="122">
        <f t="shared" si="6"/>
        <v>18.91</v>
      </c>
      <c r="J54" s="122">
        <f t="shared" si="7"/>
        <v>0</v>
      </c>
    </row>
    <row r="55" spans="1:81" x14ac:dyDescent="0.2">
      <c r="A55" s="12" t="s">
        <v>113</v>
      </c>
      <c r="B55" s="86" t="s">
        <v>101</v>
      </c>
      <c r="C55" s="86"/>
      <c r="D55" s="122">
        <f>ROUND(F55/F6,2)</f>
        <v>27.6</v>
      </c>
      <c r="E55" s="86"/>
      <c r="F55" s="321">
        <f>пр.3!F26</f>
        <v>19263.2</v>
      </c>
      <c r="G55" s="122">
        <f t="shared" si="4"/>
        <v>27.6</v>
      </c>
      <c r="H55" s="122">
        <f t="shared" si="5"/>
        <v>27.6</v>
      </c>
      <c r="I55" s="122">
        <f t="shared" si="6"/>
        <v>27.6</v>
      </c>
      <c r="J55" s="122">
        <f t="shared" si="7"/>
        <v>0</v>
      </c>
    </row>
    <row r="56" spans="1:81" x14ac:dyDescent="0.2">
      <c r="A56" s="12" t="s">
        <v>58</v>
      </c>
      <c r="B56" s="86" t="s">
        <v>101</v>
      </c>
      <c r="C56" s="86"/>
      <c r="D56" s="122">
        <f>ROUND(F56/F6,2)</f>
        <v>0</v>
      </c>
      <c r="E56" s="86"/>
      <c r="F56" s="321">
        <f>пр.3!F17</f>
        <v>0</v>
      </c>
      <c r="G56" s="122">
        <f t="shared" si="4"/>
        <v>0</v>
      </c>
      <c r="H56" s="122">
        <f t="shared" si="5"/>
        <v>0</v>
      </c>
      <c r="I56" s="122">
        <f t="shared" si="6"/>
        <v>0</v>
      </c>
      <c r="J56" s="122">
        <f t="shared" si="7"/>
        <v>0</v>
      </c>
    </row>
    <row r="57" spans="1:81" x14ac:dyDescent="0.2">
      <c r="A57" s="12" t="s">
        <v>177</v>
      </c>
      <c r="B57" s="86" t="s">
        <v>101</v>
      </c>
      <c r="C57" s="86"/>
      <c r="D57" s="122">
        <f>ROUND(F57/F6,2)</f>
        <v>0</v>
      </c>
      <c r="E57" s="86"/>
      <c r="F57" s="321">
        <f>пр.3!F18</f>
        <v>0</v>
      </c>
      <c r="G57" s="122">
        <f t="shared" si="4"/>
        <v>0</v>
      </c>
      <c r="H57" s="122">
        <f t="shared" si="5"/>
        <v>0</v>
      </c>
      <c r="I57" s="122">
        <f t="shared" si="6"/>
        <v>0</v>
      </c>
      <c r="J57" s="122">
        <f t="shared" si="7"/>
        <v>0</v>
      </c>
    </row>
    <row r="58" spans="1:81" ht="25.5" x14ac:dyDescent="0.2">
      <c r="A58" s="12" t="s">
        <v>186</v>
      </c>
      <c r="B58" s="86" t="s">
        <v>101</v>
      </c>
      <c r="C58" s="86"/>
      <c r="D58" s="122">
        <f>ROUND(F58/F6,2)</f>
        <v>0</v>
      </c>
      <c r="E58" s="86"/>
      <c r="F58" s="321">
        <f>пр.3!F25</f>
        <v>0</v>
      </c>
      <c r="G58" s="122">
        <f t="shared" si="4"/>
        <v>0</v>
      </c>
      <c r="H58" s="122">
        <f t="shared" si="5"/>
        <v>0</v>
      </c>
      <c r="I58" s="122">
        <f t="shared" si="6"/>
        <v>0</v>
      </c>
      <c r="J58" s="122">
        <f t="shared" si="7"/>
        <v>0</v>
      </c>
    </row>
    <row r="59" spans="1:81" x14ac:dyDescent="0.2">
      <c r="A59" s="12" t="str">
        <f>пр.3!A14</f>
        <v>противопож.меропр</v>
      </c>
      <c r="B59" s="86" t="s">
        <v>101</v>
      </c>
      <c r="C59" s="86"/>
      <c r="D59" s="122">
        <f>ROUND(F59/F6,2)</f>
        <v>143.27000000000001</v>
      </c>
      <c r="E59" s="86"/>
      <c r="F59" s="321">
        <f>пр.3!F14</f>
        <v>100000</v>
      </c>
      <c r="G59" s="122">
        <f t="shared" si="4"/>
        <v>143.27000000000001</v>
      </c>
      <c r="H59" s="122">
        <f t="shared" si="5"/>
        <v>143.27000000000001</v>
      </c>
      <c r="I59" s="122">
        <f t="shared" si="6"/>
        <v>143.27000000000001</v>
      </c>
      <c r="J59" s="122">
        <f t="shared" si="7"/>
        <v>0</v>
      </c>
    </row>
    <row r="60" spans="1:81" x14ac:dyDescent="0.2">
      <c r="A60" s="12" t="s">
        <v>187</v>
      </c>
      <c r="B60" s="86" t="s">
        <v>101</v>
      </c>
      <c r="C60" s="132"/>
      <c r="D60" s="122">
        <f>ROUND(F60/F6,2)</f>
        <v>0</v>
      </c>
      <c r="E60" s="86"/>
      <c r="F60" s="321">
        <f>пр.3!F20</f>
        <v>0</v>
      </c>
      <c r="G60" s="122">
        <f t="shared" si="4"/>
        <v>0</v>
      </c>
      <c r="H60" s="122">
        <f t="shared" si="5"/>
        <v>0</v>
      </c>
      <c r="I60" s="122">
        <f t="shared" si="6"/>
        <v>0</v>
      </c>
      <c r="J60" s="122">
        <f t="shared" si="7"/>
        <v>0</v>
      </c>
    </row>
    <row r="61" spans="1:81" x14ac:dyDescent="0.2">
      <c r="A61" s="208" t="str">
        <f>пр.3!A24</f>
        <v>тех.обсл.бассейна</v>
      </c>
      <c r="B61" s="86" t="s">
        <v>101</v>
      </c>
      <c r="C61" s="129"/>
      <c r="D61" s="122">
        <f>ROUND(F61/F6,2)</f>
        <v>0</v>
      </c>
      <c r="E61" s="137"/>
      <c r="F61" s="322">
        <f>пр.3!F24</f>
        <v>0</v>
      </c>
      <c r="G61" s="122">
        <f t="shared" si="4"/>
        <v>0</v>
      </c>
      <c r="H61" s="122">
        <f t="shared" si="5"/>
        <v>0</v>
      </c>
      <c r="I61" s="122">
        <f t="shared" si="6"/>
        <v>0</v>
      </c>
      <c r="J61" s="122">
        <f t="shared" si="7"/>
        <v>0</v>
      </c>
    </row>
    <row r="62" spans="1:81" x14ac:dyDescent="0.2">
      <c r="A62" s="12" t="s">
        <v>178</v>
      </c>
      <c r="B62" s="86" t="s">
        <v>101</v>
      </c>
      <c r="C62" s="129"/>
      <c r="D62" s="122">
        <f>ROUND(F62/F6,2)</f>
        <v>0</v>
      </c>
      <c r="E62" s="137"/>
      <c r="F62" s="322">
        <f>пр.3!F19</f>
        <v>0</v>
      </c>
      <c r="G62" s="122">
        <f t="shared" si="4"/>
        <v>0</v>
      </c>
      <c r="H62" s="122">
        <f t="shared" si="5"/>
        <v>0</v>
      </c>
      <c r="I62" s="122">
        <f t="shared" si="6"/>
        <v>0</v>
      </c>
      <c r="J62" s="122">
        <f t="shared" si="7"/>
        <v>0</v>
      </c>
      <c r="M62" s="58"/>
      <c r="N62" s="58"/>
      <c r="O62" s="58"/>
      <c r="P62" s="58"/>
    </row>
    <row r="63" spans="1:81" s="105" customFormat="1" ht="13.5" thickBot="1" x14ac:dyDescent="0.25">
      <c r="A63" s="118" t="s">
        <v>18</v>
      </c>
      <c r="B63" s="117"/>
      <c r="C63" s="117"/>
      <c r="D63" s="116">
        <f>SUM(D45:D62)</f>
        <v>398.42999999999995</v>
      </c>
      <c r="E63" s="136"/>
      <c r="F63" s="116">
        <f>SUM(F45:F62)</f>
        <v>278100.64</v>
      </c>
      <c r="G63" s="116">
        <f>SUM(G45:G62)</f>
        <v>398.42999999999995</v>
      </c>
      <c r="H63" s="116">
        <f>SUM(H45:H62)</f>
        <v>398.42999999999995</v>
      </c>
      <c r="I63" s="116">
        <f>SUM(I45:I62)</f>
        <v>398.42999999999995</v>
      </c>
      <c r="J63" s="116">
        <f>SUM(J45:J62)</f>
        <v>0</v>
      </c>
      <c r="K63" s="59"/>
      <c r="L63" s="59"/>
      <c r="M63" s="58"/>
      <c r="N63" s="58"/>
      <c r="O63" s="58"/>
      <c r="P63" s="58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</row>
    <row r="64" spans="1:81" ht="18" customHeight="1" thickBot="1" x14ac:dyDescent="0.25">
      <c r="A64" s="341" t="s">
        <v>112</v>
      </c>
      <c r="B64" s="342"/>
      <c r="C64" s="342"/>
      <c r="D64" s="342"/>
      <c r="E64" s="342"/>
      <c r="F64" s="342"/>
      <c r="G64" s="342"/>
      <c r="H64" s="342"/>
      <c r="I64" s="342"/>
      <c r="J64" s="342"/>
      <c r="M64" s="58"/>
      <c r="N64" s="58"/>
      <c r="O64" s="58"/>
      <c r="P64" s="58"/>
    </row>
    <row r="65" spans="1:81" x14ac:dyDescent="0.2">
      <c r="A65" s="94" t="s">
        <v>191</v>
      </c>
      <c r="B65" s="91" t="s">
        <v>101</v>
      </c>
      <c r="C65" s="91">
        <v>12</v>
      </c>
      <c r="D65" s="91">
        <f>ROUND(F65/F6,2)</f>
        <v>30.72</v>
      </c>
      <c r="E65" s="91"/>
      <c r="F65" s="92">
        <f>пр.3!F33+пр.3!F34+пр.3!F35+пр.3!F36+пр.3!F37+пр.3!F38</f>
        <v>21441</v>
      </c>
      <c r="G65" s="91">
        <f>IF(G$6=0,0,D65)</f>
        <v>30.72</v>
      </c>
      <c r="H65" s="91">
        <f>IF(H$6=0,0,D65)</f>
        <v>30.72</v>
      </c>
      <c r="I65" s="91">
        <f>IF(I$6=0,0,D65)</f>
        <v>30.72</v>
      </c>
      <c r="J65" s="133">
        <f>IF(J$6=0,0,D65)</f>
        <v>0</v>
      </c>
      <c r="M65" s="58"/>
      <c r="N65" s="58"/>
      <c r="O65" s="58"/>
      <c r="P65" s="58"/>
    </row>
    <row r="66" spans="1:81" x14ac:dyDescent="0.2">
      <c r="A66" s="89" t="s">
        <v>111</v>
      </c>
      <c r="B66" s="216" t="s">
        <v>101</v>
      </c>
      <c r="C66" s="216">
        <v>12</v>
      </c>
      <c r="D66" s="216">
        <f>ROUND(F66/F6,2)</f>
        <v>0</v>
      </c>
      <c r="E66" s="216"/>
      <c r="F66" s="216">
        <f>пр.3!F40</f>
        <v>0</v>
      </c>
      <c r="G66" s="169">
        <f>IF(G$6=0,0,D66)</f>
        <v>0</v>
      </c>
      <c r="H66" s="169">
        <f>IF(H$6=0,0,D66)</f>
        <v>0</v>
      </c>
      <c r="I66" s="169">
        <f>IF(I$6=0,0,D66)</f>
        <v>0</v>
      </c>
      <c r="J66" s="173">
        <f>IF(J$6=0,0,D66)</f>
        <v>0</v>
      </c>
    </row>
    <row r="67" spans="1:81" s="105" customFormat="1" ht="13.5" thickBot="1" x14ac:dyDescent="0.25">
      <c r="A67" s="118" t="s">
        <v>18</v>
      </c>
      <c r="B67" s="117"/>
      <c r="C67" s="117"/>
      <c r="D67" s="136">
        <f>SUM(D65+D66)</f>
        <v>30.72</v>
      </c>
      <c r="E67" s="117"/>
      <c r="F67" s="136">
        <f>SUM(F65+F66)</f>
        <v>21441</v>
      </c>
      <c r="G67" s="136">
        <f>SUM(G65+G66)</f>
        <v>30.72</v>
      </c>
      <c r="H67" s="136">
        <f>SUM(H65+H66)</f>
        <v>30.72</v>
      </c>
      <c r="I67" s="136">
        <f>SUM(I65+I66)</f>
        <v>30.72</v>
      </c>
      <c r="J67" s="135">
        <f>SUM(J65+J66)</f>
        <v>0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</row>
    <row r="68" spans="1:81" ht="16.5" thickBot="1" x14ac:dyDescent="0.25">
      <c r="A68" s="335" t="s">
        <v>110</v>
      </c>
      <c r="B68" s="335"/>
      <c r="C68" s="335"/>
      <c r="D68" s="335"/>
      <c r="E68" s="335"/>
      <c r="F68" s="335"/>
      <c r="G68" s="167"/>
      <c r="H68" s="167"/>
      <c r="I68" s="167"/>
      <c r="J68" s="167"/>
    </row>
    <row r="69" spans="1:81" x14ac:dyDescent="0.2">
      <c r="A69" s="15" t="s">
        <v>188</v>
      </c>
      <c r="B69" s="91" t="s">
        <v>101</v>
      </c>
      <c r="C69" s="134"/>
      <c r="D69" s="91">
        <f>ROUND(F69/F6,2)</f>
        <v>116.33</v>
      </c>
      <c r="E69" s="134"/>
      <c r="F69" s="133">
        <f>пр.3!F46+пр.3!F47+пр.3!F48+пр.3!F49+пр.3!F50</f>
        <v>81200</v>
      </c>
      <c r="G69" s="91">
        <f t="shared" ref="G69:G77" si="8">IF(G$6=0,0,D69)</f>
        <v>116.33</v>
      </c>
      <c r="H69" s="91">
        <f t="shared" ref="H69:H77" si="9">IF(H$6=0,0,D69)</f>
        <v>116.33</v>
      </c>
      <c r="I69" s="91">
        <f t="shared" ref="I69:I77" si="10">IF(I$6=0,0,D69)</f>
        <v>116.33</v>
      </c>
      <c r="J69" s="91">
        <f t="shared" ref="J69:J77" si="11">IF(J$6=0,0,D69)</f>
        <v>0</v>
      </c>
    </row>
    <row r="70" spans="1:81" x14ac:dyDescent="0.2">
      <c r="A70" s="89" t="s">
        <v>109</v>
      </c>
      <c r="B70" s="86" t="s">
        <v>101</v>
      </c>
      <c r="C70" s="132"/>
      <c r="D70" s="122">
        <f>ROUND(F70/F6,2)</f>
        <v>0</v>
      </c>
      <c r="E70" s="132"/>
      <c r="F70" s="131">
        <f>пр.3!F53</f>
        <v>0</v>
      </c>
      <c r="G70" s="122">
        <f t="shared" si="8"/>
        <v>0</v>
      </c>
      <c r="H70" s="122">
        <f t="shared" si="9"/>
        <v>0</v>
      </c>
      <c r="I70" s="122">
        <f t="shared" si="10"/>
        <v>0</v>
      </c>
      <c r="J70" s="122">
        <f t="shared" si="11"/>
        <v>0</v>
      </c>
    </row>
    <row r="71" spans="1:81" ht="25.5" x14ac:dyDescent="0.2">
      <c r="A71" s="130" t="s">
        <v>49</v>
      </c>
      <c r="B71" s="86" t="s">
        <v>101</v>
      </c>
      <c r="C71" s="132"/>
      <c r="D71" s="122">
        <f>ROUND(F71/F6,2)</f>
        <v>0</v>
      </c>
      <c r="E71" s="132"/>
      <c r="F71" s="323">
        <f>пр.3!F52</f>
        <v>0</v>
      </c>
      <c r="G71" s="122">
        <f t="shared" si="8"/>
        <v>0</v>
      </c>
      <c r="H71" s="122">
        <f t="shared" si="9"/>
        <v>0</v>
      </c>
      <c r="I71" s="122">
        <f t="shared" si="10"/>
        <v>0</v>
      </c>
      <c r="J71" s="122">
        <f t="shared" si="11"/>
        <v>0</v>
      </c>
    </row>
    <row r="72" spans="1:81" x14ac:dyDescent="0.2">
      <c r="A72" s="130" t="s">
        <v>47</v>
      </c>
      <c r="B72" s="86" t="s">
        <v>101</v>
      </c>
      <c r="C72" s="132"/>
      <c r="D72" s="122">
        <f>ROUND(F72/F6,2)</f>
        <v>0</v>
      </c>
      <c r="E72" s="132"/>
      <c r="F72" s="323">
        <f>пр.3!F56</f>
        <v>0</v>
      </c>
      <c r="G72" s="122">
        <f t="shared" si="8"/>
        <v>0</v>
      </c>
      <c r="H72" s="122">
        <f t="shared" si="9"/>
        <v>0</v>
      </c>
      <c r="I72" s="122">
        <f t="shared" si="10"/>
        <v>0</v>
      </c>
      <c r="J72" s="122">
        <f t="shared" si="11"/>
        <v>0</v>
      </c>
    </row>
    <row r="73" spans="1:81" ht="25.5" x14ac:dyDescent="0.2">
      <c r="A73" s="130" t="str">
        <f>пр.3!A54</f>
        <v>Договор подряда (мед.сестра бассейна)</v>
      </c>
      <c r="B73" s="86" t="s">
        <v>101</v>
      </c>
      <c r="C73" s="129"/>
      <c r="D73" s="122">
        <f>ROUND(F73/F6,2)</f>
        <v>0</v>
      </c>
      <c r="E73" s="129"/>
      <c r="F73" s="323">
        <f>пр.3!F54</f>
        <v>0</v>
      </c>
      <c r="G73" s="122">
        <f t="shared" si="8"/>
        <v>0</v>
      </c>
      <c r="H73" s="122">
        <f t="shared" si="9"/>
        <v>0</v>
      </c>
      <c r="I73" s="122">
        <f>IF(I$6=0,0,D73)</f>
        <v>0</v>
      </c>
      <c r="J73" s="122">
        <f t="shared" si="11"/>
        <v>0</v>
      </c>
    </row>
    <row r="74" spans="1:81" ht="25.5" x14ac:dyDescent="0.2">
      <c r="A74" s="130" t="str">
        <f>пр.3!A55</f>
        <v>Договор на услуги реабилитационного центра</v>
      </c>
      <c r="B74" s="216"/>
      <c r="C74" s="129"/>
      <c r="D74" s="122">
        <f>ROUND(F74/F6,2)</f>
        <v>0</v>
      </c>
      <c r="E74" s="129"/>
      <c r="F74" s="323">
        <f>пр.3!F55</f>
        <v>0</v>
      </c>
      <c r="G74" s="122">
        <f t="shared" ref="G74" si="12">IF(G$6=0,0,D74)</f>
        <v>0</v>
      </c>
      <c r="H74" s="122">
        <f t="shared" ref="H74" si="13">IF(H$6=0,0,D74)</f>
        <v>0</v>
      </c>
      <c r="I74" s="122">
        <f>IF(I$6=0,0,D74)</f>
        <v>0</v>
      </c>
      <c r="J74" s="122">
        <f t="shared" ref="J74" si="14">IF(J$6=0,0,D74)</f>
        <v>0</v>
      </c>
    </row>
    <row r="75" spans="1:81" ht="15" customHeight="1" x14ac:dyDescent="0.2">
      <c r="A75" s="130" t="s">
        <v>189</v>
      </c>
      <c r="B75" s="86" t="s">
        <v>101</v>
      </c>
      <c r="C75" s="129"/>
      <c r="D75" s="122">
        <f>ROUND(F75/F6,2)</f>
        <v>19.920000000000002</v>
      </c>
      <c r="E75" s="129"/>
      <c r="F75" s="128">
        <f>пр.3!F57</f>
        <v>13904.36</v>
      </c>
      <c r="G75" s="122">
        <f t="shared" si="8"/>
        <v>19.920000000000002</v>
      </c>
      <c r="H75" s="122">
        <f t="shared" si="9"/>
        <v>19.920000000000002</v>
      </c>
      <c r="I75" s="122">
        <f t="shared" si="10"/>
        <v>19.920000000000002</v>
      </c>
      <c r="J75" s="122">
        <f t="shared" si="11"/>
        <v>0</v>
      </c>
    </row>
    <row r="76" spans="1:81" x14ac:dyDescent="0.2">
      <c r="A76" s="12" t="s">
        <v>190</v>
      </c>
      <c r="B76" s="86" t="s">
        <v>101</v>
      </c>
      <c r="C76" s="129"/>
      <c r="D76" s="122">
        <f>ROUND(F76/F6,2)</f>
        <v>3.58</v>
      </c>
      <c r="E76" s="129"/>
      <c r="F76" s="128">
        <f>пр.3!F58</f>
        <v>2500</v>
      </c>
      <c r="G76" s="122">
        <f t="shared" si="8"/>
        <v>3.58</v>
      </c>
      <c r="H76" s="122">
        <f t="shared" si="9"/>
        <v>3.58</v>
      </c>
      <c r="I76" s="122">
        <f t="shared" si="10"/>
        <v>3.58</v>
      </c>
      <c r="J76" s="122">
        <f t="shared" si="11"/>
        <v>0</v>
      </c>
    </row>
    <row r="77" spans="1:81" x14ac:dyDescent="0.2">
      <c r="A77" s="130" t="s">
        <v>48</v>
      </c>
      <c r="B77" s="86" t="s">
        <v>101</v>
      </c>
      <c r="C77" s="129"/>
      <c r="D77" s="122">
        <f>ROUND(F77/F6,2)</f>
        <v>111.75</v>
      </c>
      <c r="E77" s="129"/>
      <c r="F77" s="128">
        <f>пр.3!F59</f>
        <v>78000</v>
      </c>
      <c r="G77" s="122">
        <f t="shared" si="8"/>
        <v>111.75</v>
      </c>
      <c r="H77" s="122">
        <f t="shared" si="9"/>
        <v>111.75</v>
      </c>
      <c r="I77" s="122">
        <f t="shared" si="10"/>
        <v>111.75</v>
      </c>
      <c r="J77" s="122">
        <f t="shared" si="11"/>
        <v>0</v>
      </c>
    </row>
    <row r="78" spans="1:81" s="124" customFormat="1" ht="13.5" thickBot="1" x14ac:dyDescent="0.25">
      <c r="A78" s="127" t="s">
        <v>100</v>
      </c>
      <c r="B78" s="126"/>
      <c r="C78" s="126"/>
      <c r="D78" s="125">
        <f>SUM(D69:D77)</f>
        <v>251.58</v>
      </c>
      <c r="E78" s="126"/>
      <c r="F78" s="125">
        <f>F69+F70+F77+F71+F72+F75+F76+F73+F74</f>
        <v>175604.36</v>
      </c>
      <c r="G78" s="125">
        <f t="shared" ref="G78:J78" si="15">G69+G70+G77+G71+G72+G75+G76+G73+G74</f>
        <v>251.58</v>
      </c>
      <c r="H78" s="125">
        <f t="shared" si="15"/>
        <v>251.58</v>
      </c>
      <c r="I78" s="125">
        <f t="shared" si="15"/>
        <v>251.58</v>
      </c>
      <c r="J78" s="125">
        <f t="shared" si="15"/>
        <v>0</v>
      </c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</row>
    <row r="79" spans="1:81" s="100" customFormat="1" ht="18.75" customHeight="1" x14ac:dyDescent="0.2">
      <c r="A79" s="338" t="s">
        <v>108</v>
      </c>
      <c r="B79" s="325"/>
      <c r="C79" s="325"/>
      <c r="D79" s="325"/>
      <c r="E79" s="325"/>
      <c r="F79" s="325"/>
      <c r="G79" s="325"/>
      <c r="H79" s="325"/>
      <c r="I79" s="325"/>
      <c r="J79" s="325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</row>
    <row r="80" spans="1:81" s="100" customFormat="1" ht="36.75" customHeight="1" thickBot="1" x14ac:dyDescent="0.3">
      <c r="A80" s="324" t="s">
        <v>107</v>
      </c>
      <c r="B80" s="324"/>
      <c r="C80" s="324"/>
      <c r="D80" s="324"/>
      <c r="E80" s="324"/>
      <c r="F80" s="324"/>
      <c r="G80" s="324"/>
      <c r="H80" s="324"/>
      <c r="I80" s="324"/>
      <c r="J80" s="324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</row>
    <row r="81" spans="1:81" s="100" customFormat="1" x14ac:dyDescent="0.2">
      <c r="A81" s="115" t="s">
        <v>78</v>
      </c>
      <c r="B81" s="91" t="s">
        <v>101</v>
      </c>
      <c r="C81" s="123">
        <v>12</v>
      </c>
      <c r="D81" s="91">
        <f>ROUND(F81/F6,2)</f>
        <v>0</v>
      </c>
      <c r="E81" s="114"/>
      <c r="F81" s="90">
        <f>пр.4!F6</f>
        <v>0</v>
      </c>
      <c r="G81" s="91">
        <f>IF(G$6=0,0,D81)</f>
        <v>0</v>
      </c>
      <c r="H81" s="91">
        <f>IF(H$6=0,0,D81)</f>
        <v>0</v>
      </c>
      <c r="I81" s="91">
        <f>IF(I$6=0,0,D81)</f>
        <v>0</v>
      </c>
      <c r="J81" s="91">
        <f>IF(J$6=0,0,D81)</f>
        <v>0</v>
      </c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</row>
    <row r="82" spans="1:81" s="100" customFormat="1" x14ac:dyDescent="0.2">
      <c r="A82" s="67" t="s">
        <v>77</v>
      </c>
      <c r="B82" s="86" t="s">
        <v>101</v>
      </c>
      <c r="C82" s="121">
        <v>12</v>
      </c>
      <c r="D82" s="122">
        <f>ROUND(F82/F6,2)</f>
        <v>0</v>
      </c>
      <c r="E82" s="120"/>
      <c r="F82" s="85">
        <f>пр.4!F7</f>
        <v>0</v>
      </c>
      <c r="G82" s="122">
        <f>IF(G$6=0,0,D82)</f>
        <v>0</v>
      </c>
      <c r="H82" s="122">
        <f>IF(H$6=0,0,D82)</f>
        <v>0</v>
      </c>
      <c r="I82" s="122">
        <f>IF(I$6=0,0,D82)</f>
        <v>0</v>
      </c>
      <c r="J82" s="122">
        <f>IF(J$6=0,0,D82)</f>
        <v>0</v>
      </c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</row>
    <row r="83" spans="1:81" s="105" customFormat="1" ht="13.5" thickBot="1" x14ac:dyDescent="0.25">
      <c r="A83" s="118" t="s">
        <v>100</v>
      </c>
      <c r="B83" s="117"/>
      <c r="C83" s="117"/>
      <c r="D83" s="116">
        <f>D81+D82</f>
        <v>0</v>
      </c>
      <c r="E83" s="117"/>
      <c r="F83" s="116">
        <f>F81+F82</f>
        <v>0</v>
      </c>
      <c r="G83" s="116">
        <f>G81+G82</f>
        <v>0</v>
      </c>
      <c r="H83" s="116">
        <f>H81+H82</f>
        <v>0</v>
      </c>
      <c r="I83" s="116">
        <f>I81+I82</f>
        <v>0</v>
      </c>
      <c r="J83" s="116">
        <f>J81+J82</f>
        <v>0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</row>
    <row r="84" spans="1:81" s="100" customFormat="1" ht="16.5" thickBot="1" x14ac:dyDescent="0.3">
      <c r="A84" s="336" t="s">
        <v>106</v>
      </c>
      <c r="B84" s="336"/>
      <c r="C84" s="336"/>
      <c r="D84" s="336"/>
      <c r="E84" s="336"/>
      <c r="F84" s="337"/>
      <c r="G84" s="167"/>
      <c r="H84" s="167"/>
      <c r="I84" s="167"/>
      <c r="J84" s="167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</row>
    <row r="85" spans="1:81" s="100" customFormat="1" x14ac:dyDescent="0.2">
      <c r="A85" s="115" t="s">
        <v>73</v>
      </c>
      <c r="B85" s="91" t="s">
        <v>101</v>
      </c>
      <c r="C85" s="123">
        <v>12</v>
      </c>
      <c r="D85" s="91">
        <f>ROUND(F85/F6,2)</f>
        <v>0</v>
      </c>
      <c r="E85" s="114"/>
      <c r="F85" s="113">
        <f>пр.4!F26</f>
        <v>0</v>
      </c>
      <c r="G85" s="91">
        <f>IF(G$6=0,0,D85)</f>
        <v>0</v>
      </c>
      <c r="H85" s="91">
        <f>IF(H$6=0,0,D85)</f>
        <v>0</v>
      </c>
      <c r="I85" s="91">
        <f>IF(I$6=0,0,D85)</f>
        <v>0</v>
      </c>
      <c r="J85" s="91">
        <f>IF(J$6=0,0,D85)</f>
        <v>0</v>
      </c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</row>
    <row r="86" spans="1:81" s="100" customFormat="1" hidden="1" x14ac:dyDescent="0.2">
      <c r="A86" s="67" t="s">
        <v>72</v>
      </c>
      <c r="B86" s="86" t="s">
        <v>101</v>
      </c>
      <c r="C86" s="121">
        <v>12</v>
      </c>
      <c r="D86" s="122">
        <f>ROUND(F86/F6,2)</f>
        <v>0</v>
      </c>
      <c r="E86" s="120"/>
      <c r="F86" s="119">
        <f>пр.4!F27</f>
        <v>0</v>
      </c>
      <c r="G86" s="122">
        <f>IF(G$6=0,0,D86)</f>
        <v>0</v>
      </c>
      <c r="H86" s="122">
        <f>IF(H$6=0,0,D86)</f>
        <v>0</v>
      </c>
      <c r="I86" s="122">
        <f>IF(I$6=0,0,D86)</f>
        <v>0</v>
      </c>
      <c r="J86" s="122">
        <f>IF(J$6=0,0,D86)</f>
        <v>0</v>
      </c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</row>
    <row r="87" spans="1:81" s="100" customFormat="1" hidden="1" x14ac:dyDescent="0.2">
      <c r="A87" s="67" t="s">
        <v>71</v>
      </c>
      <c r="B87" s="86" t="s">
        <v>101</v>
      </c>
      <c r="C87" s="120"/>
      <c r="D87" s="121"/>
      <c r="E87" s="120"/>
      <c r="F87" s="119">
        <f>ROUND(пр.4!F28/12,2)</f>
        <v>0</v>
      </c>
      <c r="G87" s="121">
        <f>IF(G$6=0,0,D87)</f>
        <v>0</v>
      </c>
      <c r="H87" s="121">
        <f>IF(H$6=0,0,D87)</f>
        <v>0</v>
      </c>
      <c r="I87" s="121">
        <f>IF(I$6=0,0,D87)</f>
        <v>0</v>
      </c>
      <c r="J87" s="121">
        <f>IF(J$6=0,0,D87)</f>
        <v>0</v>
      </c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</row>
    <row r="88" spans="1:81" s="100" customFormat="1" x14ac:dyDescent="0.2">
      <c r="A88" s="67"/>
      <c r="B88" s="86" t="s">
        <v>101</v>
      </c>
      <c r="C88" s="120"/>
      <c r="D88" s="121"/>
      <c r="E88" s="120"/>
      <c r="F88" s="119"/>
      <c r="G88" s="121">
        <f>IF(G$6=0,0,D88)</f>
        <v>0</v>
      </c>
      <c r="H88" s="121">
        <f>IF(H$6=0,0,D88)</f>
        <v>0</v>
      </c>
      <c r="I88" s="121">
        <f>IF(I$6=0,0,D88)</f>
        <v>0</v>
      </c>
      <c r="J88" s="121">
        <f>IF(J$6=0,0,D88)</f>
        <v>0</v>
      </c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</row>
    <row r="89" spans="1:81" s="105" customFormat="1" ht="13.5" thickBot="1" x14ac:dyDescent="0.25">
      <c r="A89" s="118" t="s">
        <v>100</v>
      </c>
      <c r="B89" s="117"/>
      <c r="C89" s="117"/>
      <c r="D89" s="116">
        <f>D85+D86+D87+D88</f>
        <v>0</v>
      </c>
      <c r="E89" s="117"/>
      <c r="F89" s="116">
        <f>F85+F86+F87+F88</f>
        <v>0</v>
      </c>
      <c r="G89" s="116">
        <f>G85+G86+G87+G88</f>
        <v>0</v>
      </c>
      <c r="H89" s="116">
        <f>H85+H86+H87+H88</f>
        <v>0</v>
      </c>
      <c r="I89" s="116">
        <f>I85+I86+I87+I88</f>
        <v>0</v>
      </c>
      <c r="J89" s="116">
        <f>J85+J86+J87+J88</f>
        <v>0</v>
      </c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</row>
    <row r="90" spans="1:81" s="100" customFormat="1" ht="35.25" customHeight="1" thickBot="1" x14ac:dyDescent="0.3">
      <c r="A90" s="350" t="s">
        <v>105</v>
      </c>
      <c r="B90" s="350"/>
      <c r="C90" s="350"/>
      <c r="D90" s="350"/>
      <c r="E90" s="350"/>
      <c r="F90" s="350"/>
      <c r="G90" s="351"/>
      <c r="H90" s="351"/>
      <c r="I90" s="351"/>
      <c r="J90" s="351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</row>
    <row r="91" spans="1:81" s="100" customFormat="1" x14ac:dyDescent="0.2">
      <c r="A91" s="115" t="s">
        <v>66</v>
      </c>
      <c r="B91" s="91" t="s">
        <v>101</v>
      </c>
      <c r="C91" s="114"/>
      <c r="D91" s="91">
        <f>ROUND(F91/F6,2)</f>
        <v>0</v>
      </c>
      <c r="E91" s="114"/>
      <c r="F91" s="113">
        <f>пр.4!F36</f>
        <v>0</v>
      </c>
      <c r="G91" s="91">
        <f>IF(G$6=0,0,D91)</f>
        <v>0</v>
      </c>
      <c r="H91" s="91">
        <f>IF(H$6=0,0,D91)</f>
        <v>0</v>
      </c>
      <c r="I91" s="91">
        <f>IF(I$6=0,0,D91)</f>
        <v>0</v>
      </c>
      <c r="J91" s="91">
        <f>IF(J$6=0,0,D91)</f>
        <v>0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</row>
    <row r="92" spans="1:81" s="105" customFormat="1" ht="13.5" thickBot="1" x14ac:dyDescent="0.25">
      <c r="A92" s="118" t="s">
        <v>100</v>
      </c>
      <c r="B92" s="117"/>
      <c r="C92" s="117"/>
      <c r="D92" s="116">
        <f>D91</f>
        <v>0</v>
      </c>
      <c r="E92" s="117"/>
      <c r="F92" s="116">
        <f>F91</f>
        <v>0</v>
      </c>
      <c r="G92" s="116">
        <f>G91</f>
        <v>0</v>
      </c>
      <c r="H92" s="116">
        <f>H91</f>
        <v>0</v>
      </c>
      <c r="I92" s="116">
        <f>I91</f>
        <v>0</v>
      </c>
      <c r="J92" s="116">
        <f>J91</f>
        <v>0</v>
      </c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</row>
    <row r="93" spans="1:81" s="100" customFormat="1" ht="20.25" customHeight="1" thickBot="1" x14ac:dyDescent="0.3">
      <c r="A93" s="350" t="s">
        <v>104</v>
      </c>
      <c r="B93" s="350"/>
      <c r="C93" s="350"/>
      <c r="D93" s="350"/>
      <c r="E93" s="350"/>
      <c r="F93" s="350"/>
      <c r="G93" s="351"/>
      <c r="H93" s="351"/>
      <c r="I93" s="351"/>
      <c r="J93" s="351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</row>
    <row r="94" spans="1:81" s="100" customFormat="1" x14ac:dyDescent="0.2">
      <c r="A94" s="115"/>
      <c r="B94" s="91" t="s">
        <v>101</v>
      </c>
      <c r="C94" s="114"/>
      <c r="D94" s="91">
        <f>ROUND(F94/F6,2)</f>
        <v>0</v>
      </c>
      <c r="E94" s="114"/>
      <c r="F94" s="113">
        <f>пр.4!F43</f>
        <v>0</v>
      </c>
      <c r="G94" s="91">
        <f>IF(G$6=0,0,D94)</f>
        <v>0</v>
      </c>
      <c r="H94" s="91">
        <f>IF(H$6=0,0,D94)</f>
        <v>0</v>
      </c>
      <c r="I94" s="91">
        <f>IF(I$6=0,0,D94)</f>
        <v>0</v>
      </c>
      <c r="J94" s="91">
        <f>IF(J$6=0,0,D94)</f>
        <v>0</v>
      </c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</row>
    <row r="95" spans="1:81" s="100" customFormat="1" ht="13.5" thickBot="1" x14ac:dyDescent="0.25">
      <c r="A95" s="112"/>
      <c r="B95" s="111" t="s">
        <v>101</v>
      </c>
      <c r="C95" s="109"/>
      <c r="D95" s="110">
        <f>ROUND(F95/F6,2)</f>
        <v>0</v>
      </c>
      <c r="E95" s="109"/>
      <c r="F95" s="108">
        <f>пр.4!F44</f>
        <v>0</v>
      </c>
      <c r="G95" s="110">
        <f>IF(G$6=0,0,D95)</f>
        <v>0</v>
      </c>
      <c r="H95" s="110">
        <f>IF(H$6=0,0,D95)</f>
        <v>0</v>
      </c>
      <c r="I95" s="110">
        <f>IF(I$6=0,0,D95)</f>
        <v>0</v>
      </c>
      <c r="J95" s="110">
        <f>IF(J$6=0,0,D95)</f>
        <v>0</v>
      </c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</row>
    <row r="96" spans="1:81" s="105" customFormat="1" x14ac:dyDescent="0.2">
      <c r="A96" s="107" t="s">
        <v>100</v>
      </c>
      <c r="B96" s="107"/>
      <c r="C96" s="107"/>
      <c r="D96" s="106">
        <f>D94+D95</f>
        <v>0</v>
      </c>
      <c r="E96" s="107"/>
      <c r="F96" s="106">
        <f>F94+F95</f>
        <v>0</v>
      </c>
      <c r="G96" s="106">
        <f>G94+G95</f>
        <v>0</v>
      </c>
      <c r="H96" s="106">
        <f>H94+H95</f>
        <v>0</v>
      </c>
      <c r="I96" s="106">
        <f>I94+I95</f>
        <v>0</v>
      </c>
      <c r="J96" s="106">
        <f>J94+J95</f>
        <v>0</v>
      </c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</row>
    <row r="97" spans="1:81" s="100" customFormat="1" ht="16.5" thickBot="1" x14ac:dyDescent="0.3">
      <c r="A97" s="352" t="s">
        <v>103</v>
      </c>
      <c r="B97" s="353"/>
      <c r="C97" s="353"/>
      <c r="D97" s="353"/>
      <c r="E97" s="353"/>
      <c r="F97" s="353"/>
      <c r="G97" s="354"/>
      <c r="H97" s="354"/>
      <c r="I97" s="354"/>
      <c r="J97" s="354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</row>
    <row r="98" spans="1:81" s="100" customFormat="1" x14ac:dyDescent="0.2">
      <c r="A98" s="15" t="s">
        <v>192</v>
      </c>
      <c r="B98" s="91" t="s">
        <v>101</v>
      </c>
      <c r="C98" s="91">
        <v>12</v>
      </c>
      <c r="D98" s="92">
        <f>ROUND(F98/F6,2)</f>
        <v>60.63</v>
      </c>
      <c r="E98" s="91"/>
      <c r="F98" s="90">
        <f>пр.5!H6+пр.5!H7</f>
        <v>42322.35</v>
      </c>
      <c r="G98" s="92">
        <f t="shared" ref="G98:G103" si="16">IF(G$6=0,0,D98)</f>
        <v>60.63</v>
      </c>
      <c r="H98" s="92">
        <f t="shared" ref="H98:H103" si="17">IF(H$6=0,0,D98)</f>
        <v>60.63</v>
      </c>
      <c r="I98" s="92">
        <f t="shared" ref="I98:I103" si="18">IF(I$6=0,0,D98)</f>
        <v>60.63</v>
      </c>
      <c r="J98" s="92">
        <f t="shared" ref="J98:J103" si="19">IF(J$6=0,0,D98)</f>
        <v>0</v>
      </c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</row>
    <row r="99" spans="1:81" s="100" customFormat="1" x14ac:dyDescent="0.2">
      <c r="A99" s="12" t="s">
        <v>193</v>
      </c>
      <c r="B99" s="86" t="s">
        <v>101</v>
      </c>
      <c r="C99" s="86">
        <v>12</v>
      </c>
      <c r="D99" s="87">
        <f>ROUND(F99/F6,2)</f>
        <v>60.12</v>
      </c>
      <c r="E99" s="86"/>
      <c r="F99" s="85">
        <f>пр.5!H8+пр.5!H9</f>
        <v>41965</v>
      </c>
      <c r="G99" s="87">
        <f t="shared" si="16"/>
        <v>60.12</v>
      </c>
      <c r="H99" s="87">
        <f t="shared" si="17"/>
        <v>60.12</v>
      </c>
      <c r="I99" s="87">
        <f t="shared" si="18"/>
        <v>60.12</v>
      </c>
      <c r="J99" s="87">
        <f t="shared" si="19"/>
        <v>0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</row>
    <row r="100" spans="1:81" s="100" customFormat="1" x14ac:dyDescent="0.2">
      <c r="A100" s="22" t="s">
        <v>87</v>
      </c>
      <c r="B100" s="86" t="s">
        <v>101</v>
      </c>
      <c r="C100" s="86">
        <v>12</v>
      </c>
      <c r="D100" s="87">
        <f>ROUND(F100/F6,2)</f>
        <v>14.27</v>
      </c>
      <c r="E100" s="86"/>
      <c r="F100" s="85">
        <f>пр.5!H10+пр.5!H11+пр.5!H12+пр.5!H13+пр.5!H14+пр.5!H15+пр.5!H16+пр.5!H17</f>
        <v>9958.2000000000007</v>
      </c>
      <c r="G100" s="87">
        <f t="shared" si="16"/>
        <v>14.27</v>
      </c>
      <c r="H100" s="87">
        <f t="shared" si="17"/>
        <v>14.27</v>
      </c>
      <c r="I100" s="87">
        <f t="shared" si="18"/>
        <v>14.27</v>
      </c>
      <c r="J100" s="87">
        <f t="shared" si="19"/>
        <v>0</v>
      </c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</row>
    <row r="101" spans="1:81" s="100" customFormat="1" x14ac:dyDescent="0.2">
      <c r="A101" s="22" t="s">
        <v>194</v>
      </c>
      <c r="B101" s="86" t="s">
        <v>101</v>
      </c>
      <c r="C101" s="86">
        <v>12</v>
      </c>
      <c r="D101" s="87">
        <f>ROUND(F101/F6,2)</f>
        <v>568.12</v>
      </c>
      <c r="E101" s="86"/>
      <c r="F101" s="85">
        <f>пр.5!H18+пр.5!H19+пр.5!H20+пр.5!H21</f>
        <v>396548.45</v>
      </c>
      <c r="G101" s="87">
        <f t="shared" si="16"/>
        <v>568.12</v>
      </c>
      <c r="H101" s="87">
        <f t="shared" si="17"/>
        <v>568.12</v>
      </c>
      <c r="I101" s="87">
        <f t="shared" si="18"/>
        <v>568.12</v>
      </c>
      <c r="J101" s="87">
        <f t="shared" si="19"/>
        <v>0</v>
      </c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</row>
    <row r="102" spans="1:81" s="100" customFormat="1" x14ac:dyDescent="0.2">
      <c r="A102" s="22" t="s">
        <v>195</v>
      </c>
      <c r="B102" s="86" t="s">
        <v>101</v>
      </c>
      <c r="C102" s="86">
        <v>12</v>
      </c>
      <c r="D102" s="87">
        <f>ROUND(F102/F6,2)</f>
        <v>408.06</v>
      </c>
      <c r="E102" s="86"/>
      <c r="F102" s="85">
        <f>пр.5!H22</f>
        <v>284823</v>
      </c>
      <c r="G102" s="87">
        <f t="shared" si="16"/>
        <v>408.06</v>
      </c>
      <c r="H102" s="87">
        <f t="shared" si="17"/>
        <v>408.06</v>
      </c>
      <c r="I102" s="87">
        <f t="shared" si="18"/>
        <v>408.06</v>
      </c>
      <c r="J102" s="87">
        <f t="shared" si="19"/>
        <v>0</v>
      </c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</row>
    <row r="103" spans="1:81" s="100" customFormat="1" ht="12.75" customHeight="1" x14ac:dyDescent="0.2">
      <c r="A103" s="12" t="s">
        <v>196</v>
      </c>
      <c r="B103" s="86" t="s">
        <v>101</v>
      </c>
      <c r="C103" s="86">
        <v>12</v>
      </c>
      <c r="D103" s="87">
        <f>ROUND(F103/F6,2)</f>
        <v>0</v>
      </c>
      <c r="E103" s="86"/>
      <c r="F103" s="85">
        <f>пр.5!F23</f>
        <v>0</v>
      </c>
      <c r="G103" s="87">
        <f t="shared" si="16"/>
        <v>0</v>
      </c>
      <c r="H103" s="87">
        <f t="shared" si="17"/>
        <v>0</v>
      </c>
      <c r="I103" s="87">
        <f t="shared" si="18"/>
        <v>0</v>
      </c>
      <c r="J103" s="87">
        <f t="shared" si="19"/>
        <v>0</v>
      </c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</row>
    <row r="104" spans="1:81" s="100" customFormat="1" ht="13.5" thickBot="1" x14ac:dyDescent="0.25">
      <c r="A104" s="104" t="s">
        <v>100</v>
      </c>
      <c r="B104" s="103"/>
      <c r="C104" s="103"/>
      <c r="D104" s="101">
        <f>SUM(D98:D103)</f>
        <v>1111.2</v>
      </c>
      <c r="E104" s="102"/>
      <c r="F104" s="101">
        <f>SUM(F98:F103)</f>
        <v>775617</v>
      </c>
      <c r="G104" s="101">
        <f>SUM(G98:G103)</f>
        <v>1111.2</v>
      </c>
      <c r="H104" s="101">
        <f>SUM(H98:H103)</f>
        <v>1111.2</v>
      </c>
      <c r="I104" s="101">
        <f>SUM(I98:I103)</f>
        <v>1111.2</v>
      </c>
      <c r="J104" s="101">
        <f>SUM(J98:J103)</f>
        <v>0</v>
      </c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</row>
    <row r="105" spans="1:81" s="95" customFormat="1" ht="26.25" thickBot="1" x14ac:dyDescent="0.25">
      <c r="A105" s="99" t="s">
        <v>102</v>
      </c>
      <c r="B105" s="97"/>
      <c r="C105" s="97"/>
      <c r="D105" s="98">
        <f>D104+D96+D92+D89+D83+D78+D67+D63+D32</f>
        <v>10141.230000000001</v>
      </c>
      <c r="E105" s="97"/>
      <c r="F105" s="96">
        <f>F104+F96+F92+F89+F83+F78+F67+F63+F32</f>
        <v>7078568</v>
      </c>
      <c r="G105" s="98">
        <f>G104+G96+G92+G89+G83+G78+G67+G63+G32</f>
        <v>10141.230000000001</v>
      </c>
      <c r="H105" s="98">
        <f>H104+H96+H92+H89+H83+H78+H67+H63+H32</f>
        <v>10141.230000000001</v>
      </c>
      <c r="I105" s="98">
        <f>I104+I96+I92+I89+I83+I78+I67+I63+I32</f>
        <v>10141.230000000001</v>
      </c>
      <c r="J105" s="98">
        <f>J104+J96+J92+J89+J83+J78+J67+J63+J32</f>
        <v>0</v>
      </c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</row>
    <row r="106" spans="1:81" ht="22.5" customHeight="1" thickBot="1" x14ac:dyDescent="0.3">
      <c r="A106" s="328" t="s">
        <v>197</v>
      </c>
      <c r="B106" s="329"/>
      <c r="C106" s="329"/>
      <c r="D106" s="329"/>
      <c r="E106" s="329"/>
      <c r="F106" s="329"/>
      <c r="G106" s="330"/>
      <c r="H106" s="330"/>
      <c r="I106" s="330"/>
      <c r="J106" s="330"/>
    </row>
    <row r="107" spans="1:81" x14ac:dyDescent="0.2">
      <c r="A107" s="94" t="str">
        <f>пр.6!A6</f>
        <v>Налог на имущество</v>
      </c>
      <c r="B107" s="91" t="s">
        <v>101</v>
      </c>
      <c r="C107" s="93">
        <v>2.1999999999999999E-2</v>
      </c>
      <c r="D107" s="92">
        <f>ROUND(F107/F6,2)</f>
        <v>489.28</v>
      </c>
      <c r="E107" s="91"/>
      <c r="F107" s="90">
        <f>пр.6!D6</f>
        <v>341517</v>
      </c>
      <c r="G107" s="92">
        <f t="shared" ref="G107:G114" si="20">IF(G$6=0,0,D107)</f>
        <v>489.28</v>
      </c>
      <c r="H107" s="92">
        <f t="shared" ref="H107:H114" si="21">IF(H$6=0,0,D107)</f>
        <v>489.28</v>
      </c>
      <c r="I107" s="92">
        <f t="shared" ref="I107:I114" si="22">IF(I$6=0,0,D107)</f>
        <v>489.28</v>
      </c>
      <c r="J107" s="92">
        <f t="shared" ref="J107:J114" si="23">IF(J$6=0,0,D107)</f>
        <v>0</v>
      </c>
    </row>
    <row r="108" spans="1:81" x14ac:dyDescent="0.2">
      <c r="A108" s="89" t="str">
        <f>пр.6!A7</f>
        <v>Земельный налог</v>
      </c>
      <c r="B108" s="86" t="s">
        <v>101</v>
      </c>
      <c r="C108" s="88">
        <v>1.4999999999999999E-2</v>
      </c>
      <c r="D108" s="87">
        <f>ROUND(F108/F6,2)</f>
        <v>586.69000000000005</v>
      </c>
      <c r="E108" s="86"/>
      <c r="F108" s="85">
        <f>пр.6!D7</f>
        <v>409510</v>
      </c>
      <c r="G108" s="87">
        <f t="shared" si="20"/>
        <v>586.69000000000005</v>
      </c>
      <c r="H108" s="87">
        <f t="shared" si="21"/>
        <v>586.69000000000005</v>
      </c>
      <c r="I108" s="87">
        <f t="shared" si="22"/>
        <v>586.69000000000005</v>
      </c>
      <c r="J108" s="87">
        <f t="shared" si="23"/>
        <v>0</v>
      </c>
    </row>
    <row r="109" spans="1:81" x14ac:dyDescent="0.2">
      <c r="A109" s="89" t="str">
        <f>пр.6!A10</f>
        <v>Транспортный налог</v>
      </c>
      <c r="B109" s="86" t="s">
        <v>101</v>
      </c>
      <c r="C109" s="88"/>
      <c r="D109" s="87">
        <f>ROUND(F109/F6,2)</f>
        <v>0</v>
      </c>
      <c r="E109" s="86"/>
      <c r="F109" s="85">
        <f>пр.6!D10</f>
        <v>0</v>
      </c>
      <c r="G109" s="87">
        <f t="shared" si="20"/>
        <v>0</v>
      </c>
      <c r="H109" s="87">
        <f t="shared" si="21"/>
        <v>0</v>
      </c>
      <c r="I109" s="87">
        <f t="shared" si="22"/>
        <v>0</v>
      </c>
      <c r="J109" s="87">
        <f t="shared" si="23"/>
        <v>0</v>
      </c>
    </row>
    <row r="110" spans="1:81" x14ac:dyDescent="0.2">
      <c r="A110" s="89" t="s">
        <v>95</v>
      </c>
      <c r="B110" s="86" t="s">
        <v>101</v>
      </c>
      <c r="C110" s="88"/>
      <c r="D110" s="87">
        <f>ROUND(F110/F6,2)</f>
        <v>0</v>
      </c>
      <c r="E110" s="86"/>
      <c r="F110" s="85">
        <f>пр.6!D9</f>
        <v>0</v>
      </c>
      <c r="G110" s="87">
        <f t="shared" si="20"/>
        <v>0</v>
      </c>
      <c r="H110" s="87">
        <f t="shared" si="21"/>
        <v>0</v>
      </c>
      <c r="I110" s="87">
        <f t="shared" si="22"/>
        <v>0</v>
      </c>
      <c r="J110" s="87">
        <f t="shared" si="23"/>
        <v>0</v>
      </c>
    </row>
    <row r="111" spans="1:81" x14ac:dyDescent="0.2">
      <c r="A111" s="89" t="s">
        <v>94</v>
      </c>
      <c r="B111" s="86" t="s">
        <v>101</v>
      </c>
      <c r="C111" s="88"/>
      <c r="D111" s="87">
        <f>ROUND(F111/F6,2)</f>
        <v>0</v>
      </c>
      <c r="E111" s="86"/>
      <c r="F111" s="85">
        <f>пр.6!D8</f>
        <v>0</v>
      </c>
      <c r="G111" s="87">
        <f t="shared" si="20"/>
        <v>0</v>
      </c>
      <c r="H111" s="87">
        <f t="shared" si="21"/>
        <v>0</v>
      </c>
      <c r="I111" s="87">
        <f t="shared" si="22"/>
        <v>0</v>
      </c>
      <c r="J111" s="87">
        <f t="shared" si="23"/>
        <v>0</v>
      </c>
    </row>
    <row r="112" spans="1:81" x14ac:dyDescent="0.2">
      <c r="A112" s="22" t="s">
        <v>86</v>
      </c>
      <c r="B112" s="86" t="s">
        <v>101</v>
      </c>
      <c r="C112" s="88"/>
      <c r="D112" s="87">
        <f>ROUND(F112/F6,2)</f>
        <v>480.88</v>
      </c>
      <c r="E112" s="86"/>
      <c r="F112" s="85">
        <f>пр.6!H16+пр.6!H17+пр.6!H18+пр.6!H19</f>
        <v>335651</v>
      </c>
      <c r="G112" s="87">
        <f t="shared" si="20"/>
        <v>480.88</v>
      </c>
      <c r="H112" s="87">
        <f t="shared" si="21"/>
        <v>480.88</v>
      </c>
      <c r="I112" s="87">
        <f t="shared" si="22"/>
        <v>480.88</v>
      </c>
      <c r="J112" s="87">
        <f t="shared" si="23"/>
        <v>0</v>
      </c>
    </row>
    <row r="113" spans="1:81" x14ac:dyDescent="0.2">
      <c r="A113" s="22" t="s">
        <v>84</v>
      </c>
      <c r="B113" s="86" t="s">
        <v>101</v>
      </c>
      <c r="C113" s="88"/>
      <c r="D113" s="87">
        <f>ROUND(F113/F6,2)</f>
        <v>45.34</v>
      </c>
      <c r="E113" s="86"/>
      <c r="F113" s="85">
        <f>пр.6!H20</f>
        <v>31647</v>
      </c>
      <c r="G113" s="87">
        <f t="shared" si="20"/>
        <v>45.34</v>
      </c>
      <c r="H113" s="87">
        <f t="shared" si="21"/>
        <v>45.34</v>
      </c>
      <c r="I113" s="87">
        <f t="shared" si="22"/>
        <v>45.34</v>
      </c>
      <c r="J113" s="87">
        <f t="shared" si="23"/>
        <v>0</v>
      </c>
    </row>
    <row r="114" spans="1:81" x14ac:dyDescent="0.2">
      <c r="A114" s="89"/>
      <c r="B114" s="86"/>
      <c r="C114" s="88"/>
      <c r="D114" s="87"/>
      <c r="E114" s="86"/>
      <c r="F114" s="85"/>
      <c r="G114" s="87">
        <f t="shared" si="20"/>
        <v>0</v>
      </c>
      <c r="H114" s="87">
        <f t="shared" si="21"/>
        <v>0</v>
      </c>
      <c r="I114" s="87">
        <f t="shared" si="22"/>
        <v>0</v>
      </c>
      <c r="J114" s="87">
        <f t="shared" si="23"/>
        <v>0</v>
      </c>
    </row>
    <row r="115" spans="1:81" s="79" customFormat="1" ht="13.5" thickBot="1" x14ac:dyDescent="0.25">
      <c r="A115" s="84" t="s">
        <v>100</v>
      </c>
      <c r="B115" s="81"/>
      <c r="C115" s="83"/>
      <c r="D115" s="82">
        <f>ROUND(F115/F6,2)</f>
        <v>1602.18</v>
      </c>
      <c r="E115" s="81"/>
      <c r="F115" s="80">
        <f>SUM(F107:F113)</f>
        <v>1118325</v>
      </c>
      <c r="G115" s="80">
        <f>SUM(G107:G113)</f>
        <v>1602.1899999999998</v>
      </c>
      <c r="H115" s="80">
        <f t="shared" ref="H115:J115" si="24">SUM(H107:H113)</f>
        <v>1602.1899999999998</v>
      </c>
      <c r="I115" s="80">
        <f t="shared" si="24"/>
        <v>1602.1899999999998</v>
      </c>
      <c r="J115" s="80">
        <f t="shared" si="24"/>
        <v>0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</row>
    <row r="116" spans="1:81" ht="17.25" thickBot="1" x14ac:dyDescent="0.3">
      <c r="A116" s="174" t="s">
        <v>99</v>
      </c>
      <c r="B116" s="175"/>
      <c r="C116" s="175"/>
      <c r="D116" s="211">
        <f>D115+D105+D14</f>
        <v>31207.97</v>
      </c>
      <c r="E116" s="212"/>
      <c r="F116" s="213">
        <f>F115+F105+F14</f>
        <v>21783162</v>
      </c>
      <c r="G116" s="211">
        <f>G115+G105+G14-0.01</f>
        <v>25827.930000000004</v>
      </c>
      <c r="H116" s="211">
        <f>H115+H105+H14-0.01</f>
        <v>35775.17</v>
      </c>
      <c r="I116" s="211">
        <f>I115+I105+I14-0.01</f>
        <v>40648.979999999996</v>
      </c>
      <c r="J116" s="211">
        <f>J115+J105+J14</f>
        <v>0</v>
      </c>
      <c r="K116" s="59">
        <f>G116*G6+H116*H6+I116*I6</f>
        <v>21783160.98</v>
      </c>
      <c r="L116" s="59">
        <f>K116/F6</f>
        <v>31207.967020057305</v>
      </c>
    </row>
    <row r="117" spans="1:81" ht="14.25" customHeight="1" x14ac:dyDescent="0.2">
      <c r="F117" s="78"/>
    </row>
    <row r="118" spans="1:81" x14ac:dyDescent="0.2">
      <c r="F118" s="77"/>
    </row>
    <row r="119" spans="1:81" s="1" customFormat="1" x14ac:dyDescent="0.2">
      <c r="A119" s="5" t="s">
        <v>252</v>
      </c>
      <c r="B119" s="61"/>
      <c r="C119" s="186"/>
      <c r="D119" s="209"/>
      <c r="E119" s="197"/>
      <c r="F119" s="5" t="s">
        <v>250</v>
      </c>
      <c r="G119" s="3"/>
      <c r="H119" s="2"/>
      <c r="I119" s="5"/>
      <c r="J119" s="2"/>
    </row>
    <row r="120" spans="1:81" s="1" customFormat="1" x14ac:dyDescent="0.2">
      <c r="A120" s="58"/>
      <c r="B120" s="58"/>
      <c r="C120" s="58"/>
      <c r="D120" s="210"/>
      <c r="E120" s="4"/>
      <c r="G120" s="3"/>
      <c r="H120" s="2"/>
      <c r="J120" s="25"/>
    </row>
    <row r="121" spans="1:81" s="1" customFormat="1" x14ac:dyDescent="0.2">
      <c r="A121" s="1" t="s">
        <v>254</v>
      </c>
      <c r="B121" s="58"/>
      <c r="C121" s="187"/>
      <c r="D121" s="210"/>
      <c r="E121" s="4"/>
      <c r="F121" s="1" t="s">
        <v>251</v>
      </c>
      <c r="G121" s="3"/>
      <c r="H121" s="2"/>
      <c r="J121" s="2"/>
    </row>
    <row r="122" spans="1:81" x14ac:dyDescent="0.2">
      <c r="G122" s="243">
        <f>G116*G6</f>
        <v>8884807.9200000018</v>
      </c>
      <c r="H122" s="243">
        <f>H116*H6</f>
        <v>10947202.02</v>
      </c>
      <c r="I122" s="243">
        <f>I116*I6</f>
        <v>1951151.0399999998</v>
      </c>
      <c r="J122" s="243">
        <f>J116*J6</f>
        <v>0</v>
      </c>
    </row>
    <row r="123" spans="1:81" x14ac:dyDescent="0.2">
      <c r="G123" s="243">
        <f>G122+H122+I122+J122</f>
        <v>21783160.98</v>
      </c>
      <c r="H123" s="244"/>
      <c r="I123" s="244"/>
      <c r="J123" s="244"/>
    </row>
    <row r="124" spans="1:81" x14ac:dyDescent="0.2">
      <c r="G124" s="243">
        <f>F116-G123</f>
        <v>1.0199999995529652</v>
      </c>
      <c r="H124" s="244"/>
      <c r="I124" s="244"/>
      <c r="J124" s="244"/>
    </row>
    <row r="125" spans="1:81" x14ac:dyDescent="0.2">
      <c r="G125" s="244"/>
      <c r="H125" s="244"/>
      <c r="I125" s="244"/>
      <c r="J125" s="244"/>
    </row>
    <row r="126" spans="1:81" x14ac:dyDescent="0.2">
      <c r="G126" s="243">
        <f>'проверка 2017'!I33</f>
        <v>25827.93</v>
      </c>
      <c r="H126" s="243">
        <f>'проверка 2017'!K33</f>
        <v>35775.17</v>
      </c>
      <c r="I126" s="243">
        <f>'проверка 2017'!M33</f>
        <v>40648.980000000003</v>
      </c>
      <c r="J126" s="243">
        <f>'проверка 2017'!O33</f>
        <v>0</v>
      </c>
    </row>
    <row r="127" spans="1:81" x14ac:dyDescent="0.2">
      <c r="G127" s="243">
        <f>G126-G116</f>
        <v>0</v>
      </c>
      <c r="H127" s="243">
        <f t="shared" ref="H127:J127" si="25">H126-H116</f>
        <v>0</v>
      </c>
      <c r="I127" s="243">
        <f t="shared" si="25"/>
        <v>0</v>
      </c>
      <c r="J127" s="243">
        <f t="shared" si="25"/>
        <v>0</v>
      </c>
    </row>
  </sheetData>
  <mergeCells count="21">
    <mergeCell ref="A106:J106"/>
    <mergeCell ref="A20:J20"/>
    <mergeCell ref="A3:F3"/>
    <mergeCell ref="A1:J1"/>
    <mergeCell ref="A68:F68"/>
    <mergeCell ref="A84:F84"/>
    <mergeCell ref="A79:J79"/>
    <mergeCell ref="A15:J15"/>
    <mergeCell ref="A64:J64"/>
    <mergeCell ref="B2:J2"/>
    <mergeCell ref="A9:J9"/>
    <mergeCell ref="A5:J5"/>
    <mergeCell ref="A44:J44"/>
    <mergeCell ref="A90:J90"/>
    <mergeCell ref="A93:J93"/>
    <mergeCell ref="A97:J97"/>
    <mergeCell ref="A80:J80"/>
    <mergeCell ref="A26:J26"/>
    <mergeCell ref="A27:J27"/>
    <mergeCell ref="A38:J38"/>
    <mergeCell ref="A33:J33"/>
  </mergeCells>
  <pageMargins left="1.7716535433070868" right="0.15748031496062992" top="0.23622047244094491" bottom="0.35433070866141736" header="0.31496062992125984" footer="0.31496062992125984"/>
  <pageSetup paperSize="9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opLeftCell="E13" workbookViewId="0">
      <selection activeCell="J20" sqref="J20:S46"/>
    </sheetView>
  </sheetViews>
  <sheetFormatPr defaultRowHeight="12.75" x14ac:dyDescent="0.2"/>
  <cols>
    <col min="1" max="1" width="18.140625" style="2" customWidth="1"/>
    <col min="2" max="2" width="14.140625" style="2" customWidth="1"/>
    <col min="3" max="3" width="15.42578125" style="2" customWidth="1"/>
    <col min="4" max="4" width="11.7109375" style="2" customWidth="1"/>
    <col min="5" max="5" width="12.140625" style="2" customWidth="1"/>
    <col min="6" max="6" width="10.85546875" style="2" customWidth="1"/>
    <col min="7" max="7" width="10.42578125" style="2" customWidth="1"/>
    <col min="8" max="8" width="10" style="2" bestFit="1" customWidth="1"/>
    <col min="9" max="9" width="10.140625" style="2" customWidth="1"/>
    <col min="10" max="10" width="10" style="2" bestFit="1" customWidth="1"/>
    <col min="11" max="12" width="10" style="1" bestFit="1" customWidth="1"/>
    <col min="13" max="17" width="9.140625" style="1"/>
    <col min="18" max="18" width="10" style="1" bestFit="1" customWidth="1"/>
    <col min="19" max="16384" width="9.140625" style="1"/>
  </cols>
  <sheetData>
    <row r="1" spans="1:17" x14ac:dyDescent="0.2">
      <c r="F1" s="380" t="s">
        <v>43</v>
      </c>
      <c r="G1" s="380"/>
    </row>
    <row r="2" spans="1:17" s="37" customFormat="1" ht="35.25" customHeight="1" x14ac:dyDescent="0.3">
      <c r="A2" s="360" t="s">
        <v>42</v>
      </c>
      <c r="B2" s="360"/>
      <c r="C2" s="360"/>
      <c r="D2" s="360"/>
      <c r="E2" s="360"/>
      <c r="F2" s="360"/>
      <c r="G2" s="360"/>
      <c r="H2" s="38"/>
      <c r="I2" s="38"/>
      <c r="J2" s="38"/>
    </row>
    <row r="3" spans="1:17" ht="11.25" customHeight="1" x14ac:dyDescent="0.3">
      <c r="A3" s="17"/>
      <c r="B3" s="17"/>
      <c r="C3" s="17"/>
      <c r="D3" s="17"/>
      <c r="E3" s="17"/>
      <c r="F3" s="394"/>
      <c r="G3" s="394"/>
    </row>
    <row r="4" spans="1:17" ht="48" customHeight="1" x14ac:dyDescent="0.25">
      <c r="A4" s="355" t="s">
        <v>41</v>
      </c>
      <c r="B4" s="355"/>
      <c r="C4" s="355"/>
      <c r="D4" s="355"/>
      <c r="E4" s="355"/>
      <c r="F4" s="355"/>
      <c r="G4" s="355"/>
    </row>
    <row r="5" spans="1:17" ht="38.25" x14ac:dyDescent="0.2">
      <c r="A5" s="199" t="s">
        <v>25</v>
      </c>
      <c r="B5" s="199" t="s">
        <v>6</v>
      </c>
      <c r="C5" s="199" t="s">
        <v>5</v>
      </c>
      <c r="D5" s="199" t="s">
        <v>4</v>
      </c>
      <c r="E5" s="199" t="s">
        <v>3</v>
      </c>
      <c r="F5" s="199" t="s">
        <v>2</v>
      </c>
      <c r="G5" s="199" t="s">
        <v>1</v>
      </c>
    </row>
    <row r="6" spans="1:17" x14ac:dyDescent="0.2">
      <c r="A6" s="11">
        <f>M10</f>
        <v>0</v>
      </c>
      <c r="B6" s="11">
        <f>P10</f>
        <v>0</v>
      </c>
      <c r="C6" s="11">
        <f>Q10</f>
        <v>0</v>
      </c>
      <c r="D6" s="11">
        <v>9</v>
      </c>
      <c r="E6" s="11">
        <v>1</v>
      </c>
      <c r="F6" s="11">
        <f>ROUND((A6*B6*C6)*D6*E6,2)</f>
        <v>0</v>
      </c>
      <c r="G6" s="11">
        <f>ROUND(F6*30.2%,0)</f>
        <v>0</v>
      </c>
      <c r="K6" s="1" t="s">
        <v>40</v>
      </c>
    </row>
    <row r="7" spans="1:17" x14ac:dyDescent="0.2">
      <c r="A7" s="11">
        <f>M14</f>
        <v>0</v>
      </c>
      <c r="B7" s="11">
        <f>P14</f>
        <v>0</v>
      </c>
      <c r="C7" s="11">
        <f>Q14</f>
        <v>0</v>
      </c>
      <c r="D7" s="11">
        <v>3</v>
      </c>
      <c r="E7" s="11">
        <v>1.0549999999999999</v>
      </c>
      <c r="F7" s="11">
        <f>ROUND((A7*B7*C7)*D7*E7,2)</f>
        <v>0</v>
      </c>
      <c r="G7" s="11">
        <f>ROUND(F7*30.2%,0)</f>
        <v>0</v>
      </c>
      <c r="J7" s="2" t="s">
        <v>39</v>
      </c>
    </row>
    <row r="8" spans="1:17" x14ac:dyDescent="0.2">
      <c r="A8" s="11"/>
      <c r="B8" s="11"/>
      <c r="C8" s="11"/>
      <c r="D8" s="11"/>
      <c r="E8" s="11"/>
      <c r="F8" s="11">
        <f>ROUND((A8*B8*C8)*D8*E8,2)</f>
        <v>0</v>
      </c>
      <c r="G8" s="11">
        <f>ROUND(F8*30.2%,2)</f>
        <v>0</v>
      </c>
      <c r="J8" s="23"/>
      <c r="K8" s="24"/>
      <c r="L8" s="23" t="s">
        <v>31</v>
      </c>
      <c r="M8" s="23" t="s">
        <v>30</v>
      </c>
      <c r="N8" s="23" t="s">
        <v>29</v>
      </c>
      <c r="O8" s="23" t="s">
        <v>28</v>
      </c>
      <c r="P8" s="23"/>
      <c r="Q8" s="23"/>
    </row>
    <row r="9" spans="1:17" x14ac:dyDescent="0.2">
      <c r="A9" s="11" t="s">
        <v>0</v>
      </c>
      <c r="B9" s="11"/>
      <c r="C9" s="11"/>
      <c r="D9" s="11"/>
      <c r="E9" s="11"/>
      <c r="F9" s="36">
        <f>F8+F7+F6</f>
        <v>0</v>
      </c>
      <c r="G9" s="36">
        <f>G8+G7+G6</f>
        <v>0</v>
      </c>
      <c r="J9" s="23">
        <v>1</v>
      </c>
      <c r="K9" s="24" t="s">
        <v>18</v>
      </c>
      <c r="L9" s="27"/>
      <c r="M9" s="27"/>
      <c r="N9" s="23">
        <f>L9-O9</f>
        <v>0</v>
      </c>
      <c r="O9" s="27"/>
      <c r="P9" s="23"/>
      <c r="Q9" s="23"/>
    </row>
    <row r="10" spans="1:17" x14ac:dyDescent="0.2">
      <c r="J10" s="23"/>
      <c r="K10" s="23" t="s">
        <v>17</v>
      </c>
      <c r="L10" s="23">
        <f>O10+N10</f>
        <v>0</v>
      </c>
      <c r="M10" s="27">
        <v>0</v>
      </c>
      <c r="N10" s="27">
        <v>0</v>
      </c>
      <c r="O10" s="27">
        <v>0</v>
      </c>
      <c r="P10" s="23">
        <f>IF(M10=0,0,ROUND(N10/M10,2))</f>
        <v>0</v>
      </c>
      <c r="Q10" s="23">
        <f>IF(N10=0,0,O10/N10+1)</f>
        <v>0</v>
      </c>
    </row>
    <row r="11" spans="1:17" ht="28.5" customHeight="1" thickBot="1" x14ac:dyDescent="0.3">
      <c r="A11" s="395" t="s">
        <v>38</v>
      </c>
      <c r="B11" s="395"/>
      <c r="C11" s="395"/>
      <c r="D11" s="395"/>
      <c r="E11" s="395"/>
      <c r="F11" s="395"/>
      <c r="G11" s="395"/>
      <c r="J11" s="23"/>
      <c r="K11" s="23" t="s">
        <v>16</v>
      </c>
      <c r="L11" s="23">
        <f>L9-L10</f>
        <v>0</v>
      </c>
      <c r="M11" s="23">
        <f>M9-M10</f>
        <v>0</v>
      </c>
      <c r="N11" s="23">
        <f>N9-N10</f>
        <v>0</v>
      </c>
      <c r="O11" s="23">
        <f>O9-O10</f>
        <v>0</v>
      </c>
      <c r="P11" s="23" t="e">
        <f>ROUND(N11/M11,2)</f>
        <v>#DIV/0!</v>
      </c>
      <c r="Q11" s="23" t="e">
        <f>O11/N11+1</f>
        <v>#DIV/0!</v>
      </c>
    </row>
    <row r="12" spans="1:17" x14ac:dyDescent="0.2">
      <c r="A12" s="202" t="s">
        <v>37</v>
      </c>
      <c r="B12" s="189" t="s">
        <v>36</v>
      </c>
      <c r="C12" s="189" t="s">
        <v>24</v>
      </c>
      <c r="D12" s="392" t="s">
        <v>19</v>
      </c>
      <c r="E12" s="393"/>
      <c r="J12" s="24"/>
      <c r="K12" s="23"/>
      <c r="L12" s="23"/>
      <c r="M12" s="23"/>
      <c r="N12" s="23"/>
      <c r="O12" s="23"/>
      <c r="P12" s="23"/>
      <c r="Q12" s="23"/>
    </row>
    <row r="13" spans="1:17" x14ac:dyDescent="0.2">
      <c r="A13" s="12"/>
      <c r="B13" s="11"/>
      <c r="C13" s="11"/>
      <c r="D13" s="378"/>
      <c r="E13" s="379"/>
      <c r="J13" s="24">
        <v>2</v>
      </c>
      <c r="K13" s="24" t="s">
        <v>18</v>
      </c>
      <c r="L13" s="27"/>
      <c r="M13" s="27"/>
      <c r="N13" s="23">
        <f>L13-O13</f>
        <v>0</v>
      </c>
      <c r="O13" s="27"/>
      <c r="P13" s="23"/>
      <c r="Q13" s="23"/>
    </row>
    <row r="14" spans="1:17" ht="13.5" thickBot="1" x14ac:dyDescent="0.25">
      <c r="A14" s="10"/>
      <c r="B14" s="9"/>
      <c r="C14" s="9"/>
      <c r="D14" s="381"/>
      <c r="E14" s="382"/>
      <c r="J14" s="31"/>
      <c r="K14" s="23" t="s">
        <v>17</v>
      </c>
      <c r="L14" s="23">
        <f>O14+N14</f>
        <v>0</v>
      </c>
      <c r="M14" s="27">
        <v>0</v>
      </c>
      <c r="N14" s="27">
        <v>0</v>
      </c>
      <c r="O14" s="27">
        <v>0</v>
      </c>
      <c r="P14" s="23">
        <f>IF(M14=0,0,ROUND(N14/M14,2))</f>
        <v>0</v>
      </c>
      <c r="Q14" s="23">
        <f>IF(N14=0,0,O14/N14+1)</f>
        <v>0</v>
      </c>
    </row>
    <row r="15" spans="1:17" x14ac:dyDescent="0.2">
      <c r="A15" s="34"/>
      <c r="B15" s="34"/>
      <c r="C15" s="34"/>
      <c r="D15" s="34"/>
      <c r="E15" s="34"/>
      <c r="J15" s="31"/>
      <c r="K15" s="23" t="s">
        <v>16</v>
      </c>
      <c r="L15" s="23">
        <f>L13-L14</f>
        <v>0</v>
      </c>
      <c r="M15" s="23">
        <f>M13-M14</f>
        <v>0</v>
      </c>
      <c r="N15" s="23">
        <f>N13-N14</f>
        <v>0</v>
      </c>
      <c r="O15" s="23">
        <f>O13-O14</f>
        <v>0</v>
      </c>
      <c r="P15" s="23" t="e">
        <f>ROUND(N15/M15,2)</f>
        <v>#DIV/0!</v>
      </c>
      <c r="Q15" s="23" t="e">
        <f>O15/N15+1</f>
        <v>#DIV/0!</v>
      </c>
    </row>
    <row r="16" spans="1:17" x14ac:dyDescent="0.2">
      <c r="A16" s="34"/>
      <c r="B16" s="34"/>
      <c r="C16" s="34"/>
      <c r="D16" s="34"/>
      <c r="E16" s="34"/>
      <c r="J16" s="31"/>
      <c r="K16" s="23"/>
      <c r="L16" s="23"/>
      <c r="M16" s="27"/>
      <c r="N16" s="27"/>
      <c r="O16" s="27"/>
      <c r="P16" s="23"/>
      <c r="Q16" s="23"/>
    </row>
    <row r="17" spans="1:19" x14ac:dyDescent="0.2">
      <c r="A17" s="34"/>
      <c r="B17" s="34"/>
      <c r="C17" s="34"/>
      <c r="D17" s="34"/>
      <c r="E17" s="34"/>
      <c r="J17" s="35">
        <v>3</v>
      </c>
      <c r="K17" s="24" t="s">
        <v>18</v>
      </c>
      <c r="L17" s="27"/>
      <c r="M17" s="27"/>
      <c r="N17" s="23">
        <f>L17-O17</f>
        <v>0</v>
      </c>
      <c r="O17" s="27"/>
      <c r="P17" s="23" t="e">
        <f>ROUND(N17/M17,2)</f>
        <v>#DIV/0!</v>
      </c>
      <c r="Q17" s="23" t="e">
        <f>O17/N17+1</f>
        <v>#DIV/0!</v>
      </c>
    </row>
    <row r="18" spans="1:19" x14ac:dyDescent="0.2">
      <c r="J18" s="24"/>
      <c r="K18" s="23" t="s">
        <v>17</v>
      </c>
      <c r="L18" s="23">
        <f>O18+N18</f>
        <v>0</v>
      </c>
      <c r="M18" s="27">
        <v>0</v>
      </c>
      <c r="N18" s="27">
        <v>0</v>
      </c>
      <c r="O18" s="27">
        <v>0</v>
      </c>
      <c r="P18" s="23">
        <f>IF(M18=0,0,ROUND(N18/M18,2))</f>
        <v>0</v>
      </c>
      <c r="Q18" s="23">
        <f>IF(N18=0,0,O18/N18+1)</f>
        <v>0</v>
      </c>
    </row>
    <row r="19" spans="1:19" ht="45.75" customHeight="1" thickBot="1" x14ac:dyDescent="0.3">
      <c r="A19" s="355" t="s">
        <v>35</v>
      </c>
      <c r="B19" s="355"/>
      <c r="C19" s="355"/>
      <c r="D19" s="355"/>
      <c r="E19" s="355"/>
      <c r="F19" s="355"/>
      <c r="G19" s="355"/>
      <c r="J19" s="24"/>
      <c r="K19" s="23" t="s">
        <v>16</v>
      </c>
      <c r="L19" s="23">
        <f>L17-L18</f>
        <v>0</v>
      </c>
      <c r="M19" s="23">
        <f>M17-M18</f>
        <v>0</v>
      </c>
      <c r="N19" s="23">
        <f>N17-N18</f>
        <v>0</v>
      </c>
      <c r="O19" s="23">
        <f>O17-O18</f>
        <v>0</v>
      </c>
      <c r="P19" s="23" t="e">
        <f>ROUND(N19/M19,2)</f>
        <v>#DIV/0!</v>
      </c>
      <c r="Q19" s="23" t="e">
        <f>O19/N19+1</f>
        <v>#DIV/0!</v>
      </c>
    </row>
    <row r="20" spans="1:19" ht="38.25" x14ac:dyDescent="0.2">
      <c r="A20" s="198" t="s">
        <v>34</v>
      </c>
      <c r="B20" s="189" t="s">
        <v>33</v>
      </c>
      <c r="C20" s="189" t="s">
        <v>24</v>
      </c>
      <c r="D20" s="189" t="s">
        <v>2</v>
      </c>
      <c r="E20" s="190" t="s">
        <v>1</v>
      </c>
      <c r="J20" s="2" t="s">
        <v>32</v>
      </c>
    </row>
    <row r="21" spans="1:19" x14ac:dyDescent="0.2">
      <c r="A21" s="12"/>
      <c r="B21" s="11"/>
      <c r="C21" s="11">
        <v>12</v>
      </c>
      <c r="D21" s="14"/>
      <c r="E21" s="14">
        <f>ROUND(D21*30.2%,0)</f>
        <v>0</v>
      </c>
      <c r="J21" s="23"/>
      <c r="K21" s="24"/>
      <c r="L21" s="23" t="s">
        <v>31</v>
      </c>
      <c r="M21" s="23" t="s">
        <v>30</v>
      </c>
      <c r="N21" s="23" t="s">
        <v>29</v>
      </c>
      <c r="O21" s="23" t="s">
        <v>28</v>
      </c>
      <c r="P21" s="23" t="s">
        <v>27</v>
      </c>
      <c r="Q21" s="23"/>
    </row>
    <row r="22" spans="1:19" x14ac:dyDescent="0.2">
      <c r="A22" s="12"/>
      <c r="B22" s="11"/>
      <c r="C22" s="11"/>
      <c r="D22" s="14">
        <f>ROUND(A22*B22*C22,2)</f>
        <v>0</v>
      </c>
      <c r="E22" s="14">
        <f>ROUND(D22*30.2%,0)</f>
        <v>0</v>
      </c>
      <c r="J22" s="23">
        <v>1</v>
      </c>
      <c r="K22" s="24" t="s">
        <v>18</v>
      </c>
      <c r="L22" s="27">
        <v>1202652</v>
      </c>
      <c r="M22" s="27">
        <v>74.8</v>
      </c>
      <c r="N22" s="23">
        <f>L22-O22</f>
        <v>890014.99</v>
      </c>
      <c r="O22" s="27">
        <v>312637.01</v>
      </c>
      <c r="P22" s="27"/>
      <c r="Q22" s="23"/>
      <c r="R22" s="23"/>
    </row>
    <row r="23" spans="1:19" x14ac:dyDescent="0.2">
      <c r="A23" s="12"/>
      <c r="B23" s="11"/>
      <c r="C23" s="11"/>
      <c r="D23" s="14">
        <f>ROUND(A23*B23*C23,2)</f>
        <v>0</v>
      </c>
      <c r="E23" s="14">
        <f>ROUND(D23*30.2%,0)</f>
        <v>0</v>
      </c>
      <c r="J23" s="23"/>
      <c r="K23" s="23" t="s">
        <v>17</v>
      </c>
      <c r="L23" s="23">
        <f>O23+N23</f>
        <v>833451.8</v>
      </c>
      <c r="M23" s="27">
        <v>47</v>
      </c>
      <c r="N23" s="27">
        <v>562014.06000000006</v>
      </c>
      <c r="O23" s="27">
        <v>271437.74</v>
      </c>
      <c r="P23" s="27"/>
      <c r="Q23" s="23">
        <f>ROUND((N23+P23)/M23,2)</f>
        <v>11957.75</v>
      </c>
      <c r="R23" s="23">
        <f>(O23-P23)/(N23+P23)+1</f>
        <v>1.4829732195667844</v>
      </c>
    </row>
    <row r="24" spans="1:19" x14ac:dyDescent="0.2">
      <c r="A24" s="12"/>
      <c r="B24" s="11"/>
      <c r="C24" s="11"/>
      <c r="D24" s="14">
        <f>ROUND(A24*B24*C24,2)</f>
        <v>0</v>
      </c>
      <c r="E24" s="14">
        <f>ROUND(D24*30.2%,0)</f>
        <v>0</v>
      </c>
      <c r="J24" s="23"/>
      <c r="K24" s="23" t="s">
        <v>16</v>
      </c>
      <c r="L24" s="23">
        <f>L22-L23</f>
        <v>369200.19999999995</v>
      </c>
      <c r="M24" s="23">
        <f>M22-M23</f>
        <v>27.799999999999997</v>
      </c>
      <c r="N24" s="23">
        <f>N22-N23</f>
        <v>328000.92999999993</v>
      </c>
      <c r="O24" s="23">
        <f>O22-O23</f>
        <v>41199.270000000019</v>
      </c>
      <c r="P24" s="23">
        <f>P22-P23</f>
        <v>0</v>
      </c>
      <c r="Q24" s="23">
        <f>ROUND((N24+P24)/M24,2)</f>
        <v>11798.59</v>
      </c>
      <c r="R24" s="23">
        <f>(O24-P24)/(N24+P24)+1</f>
        <v>1.1256071743455118</v>
      </c>
    </row>
    <row r="25" spans="1:19" ht="13.5" thickBot="1" x14ac:dyDescent="0.25">
      <c r="A25" s="10" t="s">
        <v>0</v>
      </c>
      <c r="B25" s="9"/>
      <c r="C25" s="9"/>
      <c r="D25" s="8">
        <f>D24+D22+D21+D23</f>
        <v>0</v>
      </c>
      <c r="E25" s="8">
        <f>E24+E22+E21+E23</f>
        <v>0</v>
      </c>
      <c r="J25" s="24"/>
      <c r="K25" s="23"/>
      <c r="L25" s="23"/>
      <c r="M25" s="23"/>
      <c r="N25" s="23"/>
      <c r="O25" s="23"/>
      <c r="P25" s="23"/>
      <c r="Q25" s="23"/>
      <c r="R25" s="23"/>
    </row>
    <row r="26" spans="1:19" hidden="1" x14ac:dyDescent="0.2">
      <c r="A26" s="34"/>
      <c r="B26" s="34"/>
      <c r="C26" s="34"/>
      <c r="D26" s="33"/>
      <c r="E26" s="33"/>
      <c r="J26" s="24"/>
      <c r="K26" s="23"/>
      <c r="L26" s="23"/>
      <c r="M26" s="23"/>
      <c r="N26" s="23"/>
      <c r="O26" s="23"/>
      <c r="P26" s="23"/>
      <c r="Q26" s="23"/>
      <c r="R26" s="23"/>
    </row>
    <row r="27" spans="1:19" hidden="1" x14ac:dyDescent="0.2">
      <c r="A27" s="34"/>
      <c r="B27" s="34"/>
      <c r="C27" s="34"/>
      <c r="D27" s="33"/>
      <c r="E27" s="33"/>
      <c r="J27" s="24"/>
      <c r="K27" s="23"/>
      <c r="L27" s="23"/>
      <c r="M27" s="23"/>
      <c r="N27" s="23"/>
      <c r="O27" s="23"/>
      <c r="P27" s="23"/>
      <c r="Q27" s="23"/>
      <c r="R27" s="23"/>
    </row>
    <row r="28" spans="1:19" hidden="1" x14ac:dyDescent="0.2">
      <c r="A28" s="34"/>
      <c r="B28" s="34"/>
      <c r="C28" s="34"/>
      <c r="D28" s="33"/>
      <c r="E28" s="33"/>
      <c r="J28" s="24"/>
      <c r="K28" s="23"/>
      <c r="L28" s="23"/>
      <c r="M28" s="23"/>
      <c r="N28" s="23"/>
      <c r="O28" s="23"/>
      <c r="P28" s="23"/>
      <c r="Q28" s="23"/>
      <c r="R28" s="23"/>
    </row>
    <row r="29" spans="1:19" hidden="1" x14ac:dyDescent="0.2">
      <c r="A29" s="34"/>
      <c r="B29" s="34"/>
      <c r="C29" s="34"/>
      <c r="D29" s="33"/>
      <c r="E29" s="33"/>
      <c r="J29" s="24"/>
      <c r="K29" s="23"/>
      <c r="L29" s="23"/>
      <c r="M29" s="23"/>
      <c r="N29" s="23"/>
      <c r="O29" s="23"/>
      <c r="P29" s="23"/>
      <c r="Q29" s="23"/>
      <c r="R29" s="23"/>
    </row>
    <row r="30" spans="1:19" x14ac:dyDescent="0.2">
      <c r="A30" s="1"/>
      <c r="J30" s="24">
        <v>2</v>
      </c>
      <c r="K30" s="24" t="s">
        <v>18</v>
      </c>
      <c r="L30" s="32">
        <v>1253410</v>
      </c>
      <c r="M30" s="27">
        <v>77.52</v>
      </c>
      <c r="N30" s="23">
        <f>L30-O30</f>
        <v>936274.57000000007</v>
      </c>
      <c r="O30" s="32">
        <v>317135.43</v>
      </c>
      <c r="P30" s="27"/>
      <c r="Q30" s="23"/>
      <c r="R30" s="23"/>
      <c r="S30" s="28"/>
    </row>
    <row r="31" spans="1:19" ht="24" customHeight="1" thickBot="1" x14ac:dyDescent="0.25">
      <c r="A31" s="376" t="s">
        <v>26</v>
      </c>
      <c r="B31" s="376"/>
      <c r="C31" s="376"/>
      <c r="D31" s="376"/>
      <c r="E31" s="376"/>
      <c r="F31" s="376"/>
      <c r="G31" s="376"/>
      <c r="J31" s="31"/>
      <c r="K31" s="23" t="s">
        <v>17</v>
      </c>
      <c r="L31" s="23">
        <f>O31+N31</f>
        <v>872914.40999999992</v>
      </c>
      <c r="M31" s="27">
        <v>50.22</v>
      </c>
      <c r="N31" s="27">
        <v>608187.56999999995</v>
      </c>
      <c r="O31" s="32">
        <v>264726.84000000003</v>
      </c>
      <c r="P31" s="27"/>
      <c r="Q31" s="23">
        <f>ROUND((N31+P31)/M31,2)</f>
        <v>12110.47</v>
      </c>
      <c r="R31" s="29">
        <f>(O31-P31)/(N31+P31)+1</f>
        <v>1.4352717040895788</v>
      </c>
    </row>
    <row r="32" spans="1:19" ht="38.25" x14ac:dyDescent="0.2">
      <c r="A32" s="198" t="s">
        <v>25</v>
      </c>
      <c r="B32" s="189" t="s">
        <v>6</v>
      </c>
      <c r="C32" s="189" t="s">
        <v>5</v>
      </c>
      <c r="D32" s="189" t="s">
        <v>24</v>
      </c>
      <c r="E32" s="189" t="s">
        <v>3</v>
      </c>
      <c r="F32" s="189" t="s">
        <v>2</v>
      </c>
      <c r="G32" s="190" t="s">
        <v>1</v>
      </c>
      <c r="H32" s="25"/>
      <c r="J32" s="24"/>
      <c r="K32" s="23" t="s">
        <v>16</v>
      </c>
      <c r="L32" s="23">
        <f>L30-L31</f>
        <v>380495.59000000008</v>
      </c>
      <c r="M32" s="23">
        <f>M30-M31</f>
        <v>27.299999999999997</v>
      </c>
      <c r="N32" s="23">
        <f>N30-N31</f>
        <v>328087.00000000012</v>
      </c>
      <c r="O32" s="23">
        <f>O30-O31</f>
        <v>52408.589999999967</v>
      </c>
      <c r="P32" s="23">
        <f>P30-P31</f>
        <v>0</v>
      </c>
      <c r="Q32" s="23">
        <f>ROUND((N32+P32)/M32,2)</f>
        <v>12017.84</v>
      </c>
      <c r="R32" s="23">
        <f>(O32-P32)/(N32+P32)+1</f>
        <v>1.1597399165465256</v>
      </c>
    </row>
    <row r="33" spans="1:19" x14ac:dyDescent="0.2">
      <c r="A33" s="12">
        <f>M23</f>
        <v>47</v>
      </c>
      <c r="B33" s="217">
        <f>Q23</f>
        <v>11957.75</v>
      </c>
      <c r="C33" s="217">
        <f>R23</f>
        <v>1.4829732195667844</v>
      </c>
      <c r="D33" s="217">
        <v>8</v>
      </c>
      <c r="E33" s="217">
        <v>1</v>
      </c>
      <c r="F33" s="14">
        <f>ROUND((A33*B33*C33)*D33*E33,0)</f>
        <v>6667617</v>
      </c>
      <c r="G33" s="13">
        <f>ROUND(F33*30.2%,0)</f>
        <v>2013620</v>
      </c>
      <c r="H33" s="25"/>
      <c r="J33" s="24"/>
      <c r="K33" s="23"/>
      <c r="L33" s="23"/>
      <c r="M33" s="23"/>
      <c r="N33" s="23"/>
      <c r="O33" s="23"/>
      <c r="P33" s="23"/>
      <c r="Q33" s="23"/>
      <c r="R33" s="23"/>
    </row>
    <row r="34" spans="1:19" x14ac:dyDescent="0.2">
      <c r="A34" s="12">
        <f>M31</f>
        <v>50.22</v>
      </c>
      <c r="B34" s="217">
        <f>Q31</f>
        <v>12110.47</v>
      </c>
      <c r="C34" s="30">
        <f>R31</f>
        <v>1.4352717040895788</v>
      </c>
      <c r="D34" s="217">
        <v>3</v>
      </c>
      <c r="E34" s="217">
        <v>1</v>
      </c>
      <c r="F34" s="281">
        <f t="shared" ref="F34:F35" si="0">ROUND((A34*B34*C34)*D34*E34,0)</f>
        <v>2618744</v>
      </c>
      <c r="G34" s="13">
        <f t="shared" ref="G34:G36" si="1">ROUND(F34*30.2%,0)</f>
        <v>790861</v>
      </c>
      <c r="H34" s="25"/>
      <c r="J34" s="24">
        <v>3</v>
      </c>
      <c r="K34" s="24" t="s">
        <v>18</v>
      </c>
      <c r="L34" s="32">
        <v>1221021</v>
      </c>
      <c r="M34" s="27">
        <v>77.52</v>
      </c>
      <c r="N34" s="23">
        <f>L34-O34</f>
        <v>936274.57000000007</v>
      </c>
      <c r="O34" s="32">
        <v>284746.43</v>
      </c>
      <c r="P34" s="27"/>
      <c r="Q34" s="23"/>
      <c r="R34" s="23"/>
      <c r="S34" s="28">
        <f>L30-L34</f>
        <v>32389</v>
      </c>
    </row>
    <row r="35" spans="1:19" x14ac:dyDescent="0.2">
      <c r="A35" s="12">
        <f>M35</f>
        <v>50.22</v>
      </c>
      <c r="B35" s="217">
        <f>Q35</f>
        <v>12110.47</v>
      </c>
      <c r="C35" s="30">
        <f>R35</f>
        <v>1.3820167518385817</v>
      </c>
      <c r="D35" s="217">
        <v>1</v>
      </c>
      <c r="E35" s="217">
        <v>1</v>
      </c>
      <c r="F35" s="281">
        <f t="shared" si="0"/>
        <v>840526</v>
      </c>
      <c r="G35" s="13">
        <f t="shared" si="1"/>
        <v>253839</v>
      </c>
      <c r="H35" s="25"/>
      <c r="I35" s="25"/>
      <c r="J35" s="31"/>
      <c r="K35" s="23" t="s">
        <v>17</v>
      </c>
      <c r="L35" s="23">
        <f>O35+N35</f>
        <v>840525.40999999992</v>
      </c>
      <c r="M35" s="27">
        <v>50.22</v>
      </c>
      <c r="N35" s="27">
        <v>608187.56999999995</v>
      </c>
      <c r="O35" s="295">
        <v>232337.84</v>
      </c>
      <c r="P35" s="27"/>
      <c r="Q35" s="23">
        <f>ROUND((N35+P35)/M35,2)</f>
        <v>12110.47</v>
      </c>
      <c r="R35" s="29">
        <f>(O35-P35)/(N35+P35)+1</f>
        <v>1.3820167518385817</v>
      </c>
      <c r="S35" s="1">
        <f>ROUND(S34/1.35,2)</f>
        <v>23991.85</v>
      </c>
    </row>
    <row r="36" spans="1:19" x14ac:dyDescent="0.2">
      <c r="A36" s="12"/>
      <c r="B36" s="282"/>
      <c r="C36" s="30"/>
      <c r="D36" s="217">
        <v>1</v>
      </c>
      <c r="E36" s="217">
        <v>1</v>
      </c>
      <c r="F36" s="14">
        <f>ROUND((A36*B36*C36)*D36*E36,0)</f>
        <v>0</v>
      </c>
      <c r="G36" s="13">
        <f t="shared" si="1"/>
        <v>0</v>
      </c>
      <c r="H36" s="25"/>
      <c r="J36" s="24"/>
      <c r="K36" s="23" t="s">
        <v>16</v>
      </c>
      <c r="L36" s="23">
        <f>L34-L35</f>
        <v>380495.59000000008</v>
      </c>
      <c r="M36" s="23">
        <f>M34-M35</f>
        <v>27.299999999999997</v>
      </c>
      <c r="N36" s="23">
        <f>N34-N35</f>
        <v>328087.00000000012</v>
      </c>
      <c r="O36" s="23">
        <f>O34-O35</f>
        <v>52408.59</v>
      </c>
      <c r="P36" s="23">
        <f>P34-P35</f>
        <v>0</v>
      </c>
      <c r="Q36" s="23">
        <f>ROUND((N36+P36)/M36,2)</f>
        <v>12017.84</v>
      </c>
      <c r="R36" s="23">
        <f>(O36-P36)/(N36+P36)+1</f>
        <v>1.1597399165465256</v>
      </c>
    </row>
    <row r="37" spans="1:19" x14ac:dyDescent="0.2">
      <c r="A37" s="12"/>
      <c r="B37" s="217"/>
      <c r="C37" s="217"/>
      <c r="D37" s="217"/>
      <c r="E37" s="217"/>
      <c r="F37" s="14">
        <f>ROUND((A37*B37*C37)*D37*E37,2)</f>
        <v>0</v>
      </c>
      <c r="G37" s="13">
        <f>ROUND(F37*30.2%,0)</f>
        <v>0</v>
      </c>
      <c r="H37" s="25"/>
      <c r="J37" s="24"/>
      <c r="K37" s="24"/>
      <c r="L37" s="24"/>
      <c r="M37" s="23"/>
      <c r="N37" s="23"/>
      <c r="O37" s="23"/>
      <c r="P37" s="23"/>
      <c r="Q37" s="23"/>
      <c r="R37" s="23"/>
    </row>
    <row r="38" spans="1:19" ht="13.5" thickBot="1" x14ac:dyDescent="0.25">
      <c r="A38" s="10" t="s">
        <v>0</v>
      </c>
      <c r="B38" s="218"/>
      <c r="C38" s="218"/>
      <c r="D38" s="218"/>
      <c r="E38" s="218"/>
      <c r="F38" s="8">
        <f>SUM(F33:F37)</f>
        <v>10126887</v>
      </c>
      <c r="G38" s="7">
        <f>SUM(G33:G37)</f>
        <v>3058320</v>
      </c>
      <c r="H38" s="25"/>
      <c r="J38" s="24"/>
      <c r="K38" s="23" t="s">
        <v>16</v>
      </c>
      <c r="L38" s="23">
        <f>L36-L37</f>
        <v>380495.59000000008</v>
      </c>
      <c r="M38" s="23">
        <f>M36-M37</f>
        <v>27.299999999999997</v>
      </c>
      <c r="N38" s="23">
        <f>N36-N37</f>
        <v>328087.00000000012</v>
      </c>
      <c r="O38" s="23">
        <f>O36-O37</f>
        <v>52408.59</v>
      </c>
      <c r="P38" s="23">
        <f>P36-P37</f>
        <v>0</v>
      </c>
      <c r="Q38" s="23">
        <f>ROUND((N38+P38)/M38,2)</f>
        <v>12017.84</v>
      </c>
      <c r="R38" s="23">
        <f>(O38-P38)/(N38+P38)+1</f>
        <v>1.1597399165465256</v>
      </c>
    </row>
    <row r="39" spans="1:19" x14ac:dyDescent="0.2">
      <c r="H39" s="25"/>
      <c r="J39" s="24"/>
      <c r="K39" s="23"/>
      <c r="L39" s="23"/>
      <c r="M39" s="23"/>
      <c r="N39" s="23"/>
      <c r="O39" s="23"/>
      <c r="P39" s="23"/>
      <c r="Q39" s="23"/>
      <c r="R39" s="23"/>
      <c r="S39" s="28"/>
    </row>
    <row r="40" spans="1:19" ht="25.5" customHeight="1" thickBot="1" x14ac:dyDescent="0.25">
      <c r="A40" s="377" t="s">
        <v>23</v>
      </c>
      <c r="B40" s="377"/>
      <c r="C40" s="377"/>
      <c r="D40" s="377"/>
      <c r="E40" s="377"/>
      <c r="F40" s="377"/>
      <c r="G40" s="377"/>
      <c r="J40" s="24">
        <v>4</v>
      </c>
      <c r="K40" s="24" t="s">
        <v>18</v>
      </c>
      <c r="L40" s="32"/>
      <c r="M40" s="27"/>
      <c r="N40" s="23">
        <f>L40-O40</f>
        <v>0</v>
      </c>
      <c r="O40" s="32"/>
      <c r="P40" s="27"/>
      <c r="Q40" s="23"/>
      <c r="R40" s="23"/>
    </row>
    <row r="41" spans="1:19" x14ac:dyDescent="0.2">
      <c r="A41" s="200" t="s">
        <v>22</v>
      </c>
      <c r="B41" s="201" t="s">
        <v>21</v>
      </c>
      <c r="C41" s="189" t="s">
        <v>20</v>
      </c>
      <c r="D41" s="383" t="s">
        <v>19</v>
      </c>
      <c r="E41" s="384"/>
      <c r="G41" s="25"/>
      <c r="J41" s="24"/>
      <c r="K41" s="23" t="s">
        <v>17</v>
      </c>
      <c r="L41" s="23">
        <f>O41+N41</f>
        <v>0</v>
      </c>
      <c r="M41" s="27"/>
      <c r="N41" s="27"/>
      <c r="O41" s="295"/>
      <c r="P41" s="27"/>
      <c r="Q41" s="23" t="e">
        <f>ROUND((N41+P41)/M41,2)</f>
        <v>#DIV/0!</v>
      </c>
      <c r="R41" s="29" t="e">
        <f>(O41-P41)/(N41+P41)+1</f>
        <v>#DIV/0!</v>
      </c>
    </row>
    <row r="42" spans="1:19" x14ac:dyDescent="0.2">
      <c r="A42" s="26">
        <v>226</v>
      </c>
      <c r="B42" s="21">
        <v>37.35</v>
      </c>
      <c r="C42" s="274">
        <f>ROUND(D42/B42,0)</f>
        <v>687</v>
      </c>
      <c r="D42" s="356">
        <f>'проверка 2017'!C10</f>
        <v>25660</v>
      </c>
      <c r="E42" s="357"/>
      <c r="F42" s="2" t="s">
        <v>155</v>
      </c>
      <c r="G42" s="25"/>
      <c r="J42" s="24"/>
      <c r="K42" s="23" t="s">
        <v>16</v>
      </c>
      <c r="L42" s="23">
        <f>L40-L41</f>
        <v>0</v>
      </c>
      <c r="M42" s="23">
        <f>M40-M41</f>
        <v>0</v>
      </c>
      <c r="N42" s="23">
        <f>N40-N41</f>
        <v>0</v>
      </c>
      <c r="O42" s="23">
        <f>O40-O41</f>
        <v>0</v>
      </c>
      <c r="P42" s="23">
        <f>P40-P41</f>
        <v>0</v>
      </c>
      <c r="Q42" s="23" t="e">
        <f>ROUND((N42+P42)/M42,2)</f>
        <v>#DIV/0!</v>
      </c>
      <c r="R42" s="23" t="e">
        <f>(O42-P42)/(N42+P42)+1</f>
        <v>#DIV/0!</v>
      </c>
    </row>
    <row r="43" spans="1:19" x14ac:dyDescent="0.2">
      <c r="A43" s="26">
        <v>226</v>
      </c>
      <c r="B43" s="21">
        <f>ROUND(D43/C43,2)</f>
        <v>51.5</v>
      </c>
      <c r="C43" s="11">
        <f>свод!F6+1</f>
        <v>699</v>
      </c>
      <c r="D43" s="356">
        <f>'проверка 2017'!C11</f>
        <v>36000</v>
      </c>
      <c r="E43" s="357"/>
      <c r="G43" s="25"/>
      <c r="J43" s="1"/>
    </row>
    <row r="44" spans="1:19" x14ac:dyDescent="0.2">
      <c r="A44" s="26">
        <v>221</v>
      </c>
      <c r="B44" s="21">
        <f t="shared" ref="B44:B46" si="2">ROUND(D44/C44,2)</f>
        <v>98.59</v>
      </c>
      <c r="C44" s="11">
        <f>свод!F6+1</f>
        <v>699</v>
      </c>
      <c r="D44" s="356">
        <f>'проверка 2017'!C9</f>
        <v>68917</v>
      </c>
      <c r="E44" s="357"/>
      <c r="G44" s="25"/>
      <c r="J44" s="24">
        <v>3</v>
      </c>
      <c r="K44" s="24" t="s">
        <v>18</v>
      </c>
      <c r="L44" s="27"/>
      <c r="M44" s="27"/>
      <c r="N44" s="23">
        <f>L44-O44</f>
        <v>0</v>
      </c>
      <c r="O44" s="27"/>
      <c r="P44" s="27"/>
      <c r="Q44" s="23"/>
      <c r="R44" s="23"/>
    </row>
    <row r="45" spans="1:19" x14ac:dyDescent="0.2">
      <c r="A45" s="22">
        <v>310</v>
      </c>
      <c r="B45" s="21">
        <f t="shared" si="2"/>
        <v>310.26</v>
      </c>
      <c r="C45" s="11">
        <f>свод!F6+1</f>
        <v>699</v>
      </c>
      <c r="D45" s="356">
        <f>'проверка 2017'!C12</f>
        <v>216874</v>
      </c>
      <c r="E45" s="357"/>
      <c r="J45" s="24"/>
      <c r="K45" s="23" t="s">
        <v>17</v>
      </c>
      <c r="L45" s="23">
        <f>O45+N45</f>
        <v>0</v>
      </c>
      <c r="M45" s="27"/>
      <c r="N45" s="27"/>
      <c r="O45" s="27"/>
      <c r="P45" s="27"/>
      <c r="Q45" s="23"/>
      <c r="R45" s="23"/>
    </row>
    <row r="46" spans="1:19" ht="15.75" customHeight="1" thickBot="1" x14ac:dyDescent="0.25">
      <c r="A46" s="20">
        <v>340</v>
      </c>
      <c r="B46" s="21">
        <f t="shared" si="2"/>
        <v>76.7</v>
      </c>
      <c r="C46" s="9">
        <f>свод!F6+1</f>
        <v>699</v>
      </c>
      <c r="D46" s="358">
        <f>'проверка 2017'!C13</f>
        <v>53611</v>
      </c>
      <c r="E46" s="359"/>
      <c r="J46" s="24"/>
      <c r="K46" s="23" t="s">
        <v>16</v>
      </c>
      <c r="L46" s="23">
        <f>L44-L45</f>
        <v>0</v>
      </c>
      <c r="M46" s="23">
        <f>M44-M45</f>
        <v>0</v>
      </c>
      <c r="N46" s="23">
        <f>N44-N45</f>
        <v>0</v>
      </c>
      <c r="O46" s="23">
        <f>O44-O45</f>
        <v>0</v>
      </c>
      <c r="P46" s="23">
        <f>P44-P45</f>
        <v>0</v>
      </c>
      <c r="Q46" s="23"/>
      <c r="R46" s="23"/>
    </row>
    <row r="47" spans="1:19" ht="16.5" customHeight="1" x14ac:dyDescent="0.2">
      <c r="A47" s="56"/>
      <c r="B47" s="280"/>
      <c r="C47" s="34"/>
      <c r="D47" s="34"/>
      <c r="E47" s="34"/>
      <c r="J47" s="19"/>
      <c r="K47" s="18"/>
      <c r="L47" s="306"/>
      <c r="M47" s="18"/>
      <c r="N47" s="18"/>
      <c r="O47" s="18"/>
      <c r="P47" s="18"/>
      <c r="Q47" s="18"/>
      <c r="R47" s="18"/>
    </row>
    <row r="48" spans="1:19" ht="45" customHeight="1" thickBot="1" x14ac:dyDescent="0.3">
      <c r="A48" s="361" t="s">
        <v>228</v>
      </c>
      <c r="B48" s="361"/>
      <c r="C48" s="361"/>
      <c r="D48" s="361"/>
      <c r="E48" s="361"/>
      <c r="F48" s="361"/>
      <c r="G48" s="361"/>
      <c r="J48" s="19"/>
      <c r="K48" s="18"/>
      <c r="L48" s="306"/>
      <c r="M48" s="18"/>
      <c r="N48" s="18"/>
      <c r="O48" s="18"/>
      <c r="P48" s="18"/>
      <c r="Q48" s="18"/>
      <c r="R48" s="18"/>
    </row>
    <row r="49" spans="1:18" ht="15.75" customHeight="1" x14ac:dyDescent="0.25">
      <c r="A49" s="277" t="s">
        <v>22</v>
      </c>
      <c r="B49" s="385" t="s">
        <v>37</v>
      </c>
      <c r="C49" s="386"/>
      <c r="D49" s="387" t="s">
        <v>19</v>
      </c>
      <c r="E49" s="388"/>
      <c r="J49" s="19"/>
      <c r="K49" s="18"/>
      <c r="L49" s="18"/>
      <c r="M49" s="18"/>
      <c r="N49" s="18"/>
      <c r="O49" s="18"/>
      <c r="P49" s="18"/>
      <c r="Q49" s="18"/>
      <c r="R49" s="18"/>
    </row>
    <row r="50" spans="1:18" ht="15.75" customHeight="1" x14ac:dyDescent="0.2">
      <c r="A50" s="278">
        <v>226</v>
      </c>
      <c r="B50" s="389">
        <f>IF(D50=0,0,ROUND(D50/('[1]проверка 2017'!H41+'[1]проверка 2017'!I41),2))</f>
        <v>0</v>
      </c>
      <c r="C50" s="390"/>
      <c r="D50" s="391"/>
      <c r="E50" s="379"/>
      <c r="J50" s="19"/>
      <c r="K50" s="18"/>
      <c r="L50" s="18"/>
      <c r="M50" s="18"/>
      <c r="N50" s="18"/>
      <c r="O50" s="18"/>
      <c r="P50" s="18"/>
      <c r="Q50" s="18"/>
      <c r="R50" s="18"/>
    </row>
    <row r="51" spans="1:18" ht="13.5" thickBot="1" x14ac:dyDescent="0.25">
      <c r="A51" s="279">
        <v>340</v>
      </c>
      <c r="B51" s="370">
        <f>IF(D51=0,0,ROUND(D51/('[1]проверка 2017'!H41+'[1]проверка 2017'!I41),2))</f>
        <v>0</v>
      </c>
      <c r="C51" s="371"/>
      <c r="D51" s="374">
        <f>'проверка 2017'!C15-D95</f>
        <v>0</v>
      </c>
      <c r="E51" s="375"/>
      <c r="J51" s="19"/>
      <c r="K51" s="18"/>
      <c r="L51" s="18"/>
      <c r="M51" s="18"/>
      <c r="N51" s="18"/>
      <c r="O51" s="18"/>
      <c r="P51" s="18"/>
      <c r="Q51" s="18"/>
      <c r="R51" s="18"/>
    </row>
    <row r="52" spans="1:18" ht="15.75" customHeight="1" x14ac:dyDescent="0.2">
      <c r="A52" s="56"/>
      <c r="B52" s="280"/>
      <c r="C52" s="34"/>
      <c r="D52" s="34"/>
      <c r="E52" s="34"/>
      <c r="J52" s="19"/>
      <c r="K52" s="18"/>
      <c r="L52" s="18"/>
      <c r="M52" s="18"/>
      <c r="N52" s="18"/>
      <c r="O52" s="18"/>
      <c r="P52" s="18"/>
      <c r="Q52" s="18"/>
      <c r="R52" s="18"/>
    </row>
    <row r="53" spans="1:18" x14ac:dyDescent="0.2">
      <c r="J53" s="19"/>
      <c r="K53" s="18"/>
      <c r="L53" s="18"/>
      <c r="M53" s="18"/>
      <c r="N53" s="18"/>
      <c r="O53" s="18"/>
      <c r="P53" s="18"/>
      <c r="Q53" s="18"/>
      <c r="R53" s="18"/>
    </row>
    <row r="54" spans="1:18" hidden="1" x14ac:dyDescent="0.2">
      <c r="J54" s="19"/>
      <c r="K54" s="18"/>
      <c r="L54" s="18"/>
      <c r="M54" s="219">
        <f>'проверка 2017'!C7-'пр.1+2 '!L54</f>
        <v>14602467</v>
      </c>
      <c r="N54" s="18"/>
      <c r="O54" s="18"/>
      <c r="P54" s="18"/>
      <c r="Q54" s="18"/>
      <c r="R54" s="18"/>
    </row>
    <row r="55" spans="1:18" x14ac:dyDescent="0.2">
      <c r="A55" s="5" t="s">
        <v>255</v>
      </c>
      <c r="B55" s="61"/>
      <c r="C55" s="186"/>
      <c r="D55" s="186"/>
      <c r="E55" s="5" t="s">
        <v>250</v>
      </c>
      <c r="F55" s="5"/>
      <c r="G55" s="3"/>
      <c r="J55" s="19"/>
      <c r="K55" s="18"/>
      <c r="L55" s="18"/>
      <c r="M55" s="18"/>
      <c r="N55" s="18"/>
      <c r="O55" s="18"/>
      <c r="P55" s="18"/>
      <c r="Q55" s="18"/>
      <c r="R55" s="18"/>
    </row>
    <row r="56" spans="1:18" x14ac:dyDescent="0.2">
      <c r="A56" s="58"/>
      <c r="B56" s="58"/>
      <c r="C56" s="58"/>
      <c r="D56" s="58"/>
      <c r="E56" s="1"/>
      <c r="F56" s="1"/>
      <c r="G56" s="3"/>
    </row>
    <row r="57" spans="1:18" x14ac:dyDescent="0.2">
      <c r="A57" s="1" t="s">
        <v>254</v>
      </c>
      <c r="B57" s="58"/>
      <c r="C57" s="187"/>
      <c r="D57" s="187"/>
      <c r="E57" s="1" t="s">
        <v>251</v>
      </c>
      <c r="F57" s="1"/>
      <c r="G57" s="3"/>
    </row>
    <row r="58" spans="1:18" x14ac:dyDescent="0.2">
      <c r="J58" s="25"/>
    </row>
    <row r="59" spans="1:18" x14ac:dyDescent="0.2">
      <c r="A59" s="5"/>
      <c r="B59" s="5"/>
      <c r="C59" s="5"/>
      <c r="D59" s="5"/>
      <c r="E59" s="6"/>
    </row>
    <row r="60" spans="1:18" x14ac:dyDescent="0.2">
      <c r="A60" s="5"/>
      <c r="B60" s="1"/>
      <c r="C60" s="1"/>
      <c r="D60" s="1"/>
      <c r="E60" s="4"/>
    </row>
    <row r="61" spans="1:18" x14ac:dyDescent="0.2">
      <c r="A61" s="1"/>
      <c r="B61" s="1"/>
      <c r="C61" s="1"/>
      <c r="D61" s="1"/>
      <c r="E61" s="4"/>
    </row>
    <row r="62" spans="1:18" x14ac:dyDescent="0.2">
      <c r="F62" s="380" t="s">
        <v>15</v>
      </c>
      <c r="G62" s="380"/>
    </row>
    <row r="63" spans="1:18" ht="37.5" customHeight="1" x14ac:dyDescent="0.3">
      <c r="A63" s="360" t="s">
        <v>14</v>
      </c>
      <c r="B63" s="360"/>
      <c r="C63" s="360"/>
      <c r="D63" s="360"/>
      <c r="E63" s="360"/>
      <c r="F63" s="360"/>
      <c r="G63" s="360"/>
    </row>
    <row r="64" spans="1:18" ht="20.25" x14ac:dyDescent="0.3">
      <c r="A64" s="17"/>
      <c r="B64" s="17"/>
      <c r="C64" s="17"/>
      <c r="D64" s="17"/>
      <c r="E64" s="17"/>
      <c r="F64" s="17"/>
      <c r="G64" s="17"/>
    </row>
    <row r="65" spans="1:11" ht="49.5" customHeight="1" x14ac:dyDescent="0.25">
      <c r="A65" s="355" t="s">
        <v>13</v>
      </c>
      <c r="B65" s="355"/>
      <c r="C65" s="355"/>
      <c r="D65" s="355"/>
      <c r="E65" s="355"/>
      <c r="F65" s="355"/>
      <c r="G65" s="355"/>
    </row>
    <row r="66" spans="1:11" ht="38.25" x14ac:dyDescent="0.2">
      <c r="A66" s="199" t="s">
        <v>7</v>
      </c>
      <c r="B66" s="199" t="s">
        <v>6</v>
      </c>
      <c r="C66" s="199" t="s">
        <v>5</v>
      </c>
      <c r="D66" s="199" t="s">
        <v>4</v>
      </c>
      <c r="E66" s="199" t="s">
        <v>3</v>
      </c>
      <c r="F66" s="199" t="s">
        <v>2</v>
      </c>
      <c r="G66" s="199" t="s">
        <v>1</v>
      </c>
    </row>
    <row r="67" spans="1:11" x14ac:dyDescent="0.2">
      <c r="A67" s="11">
        <f>M11</f>
        <v>0</v>
      </c>
      <c r="B67" s="11"/>
      <c r="C67" s="11"/>
      <c r="D67" s="11">
        <v>6</v>
      </c>
      <c r="E67" s="11">
        <v>1</v>
      </c>
      <c r="F67" s="21">
        <f>ROUND((A67*B67*C67)*D67,0)</f>
        <v>0</v>
      </c>
      <c r="G67" s="21">
        <f>ROUND(F67*30.2%,0)</f>
        <v>0</v>
      </c>
    </row>
    <row r="68" spans="1:11" x14ac:dyDescent="0.2">
      <c r="A68" s="11">
        <f>M15</f>
        <v>0</v>
      </c>
      <c r="B68" s="11"/>
      <c r="C68" s="11"/>
      <c r="D68" s="11">
        <v>2</v>
      </c>
      <c r="E68" s="11">
        <v>1</v>
      </c>
      <c r="F68" s="21">
        <f t="shared" ref="F68:F69" si="3">ROUND((A68*B68*C68)*D68,0)</f>
        <v>0</v>
      </c>
      <c r="G68" s="21">
        <f t="shared" ref="G68:G69" si="4">ROUND(F68*30.2%,0)</f>
        <v>0</v>
      </c>
    </row>
    <row r="69" spans="1:11" x14ac:dyDescent="0.2">
      <c r="A69" s="282">
        <f>M17</f>
        <v>0</v>
      </c>
      <c r="B69" s="282"/>
      <c r="C69" s="282"/>
      <c r="D69" s="11">
        <v>4</v>
      </c>
      <c r="E69" s="11">
        <v>1</v>
      </c>
      <c r="F69" s="21">
        <f t="shared" si="3"/>
        <v>0</v>
      </c>
      <c r="G69" s="21">
        <f t="shared" si="4"/>
        <v>0</v>
      </c>
    </row>
    <row r="70" spans="1:11" x14ac:dyDescent="0.2">
      <c r="A70" s="11" t="s">
        <v>0</v>
      </c>
      <c r="B70" s="11"/>
      <c r="C70" s="11"/>
      <c r="D70" s="11"/>
      <c r="E70" s="11"/>
      <c r="F70" s="21">
        <f>SUM(F67:F69)</f>
        <v>0</v>
      </c>
      <c r="G70" s="21">
        <f>SUM(G67:G69)</f>
        <v>0</v>
      </c>
    </row>
    <row r="71" spans="1:11" ht="13.5" thickBot="1" x14ac:dyDescent="0.25"/>
    <row r="72" spans="1:11" ht="102" x14ac:dyDescent="0.2">
      <c r="A72" s="198" t="s">
        <v>12</v>
      </c>
      <c r="B72" s="189" t="s">
        <v>11</v>
      </c>
      <c r="C72" s="189" t="s">
        <v>4</v>
      </c>
      <c r="D72" s="190" t="s">
        <v>10</v>
      </c>
      <c r="G72" s="2" t="s">
        <v>9</v>
      </c>
    </row>
    <row r="73" spans="1:11" ht="13.5" thickBot="1" x14ac:dyDescent="0.25">
      <c r="A73" s="10">
        <v>50</v>
      </c>
      <c r="B73" s="168">
        <v>1</v>
      </c>
      <c r="C73" s="314">
        <v>12</v>
      </c>
      <c r="D73" s="16">
        <f>A73*B73*C73</f>
        <v>600</v>
      </c>
    </row>
    <row r="75" spans="1:11" s="302" customFormat="1" ht="60" customHeight="1" thickBot="1" x14ac:dyDescent="0.3">
      <c r="A75" s="361" t="s">
        <v>229</v>
      </c>
      <c r="B75" s="361"/>
      <c r="C75" s="361"/>
      <c r="D75" s="361"/>
      <c r="E75" s="361"/>
      <c r="F75" s="361"/>
      <c r="G75" s="361"/>
      <c r="H75" s="301"/>
      <c r="I75" s="301"/>
      <c r="J75" s="301"/>
    </row>
    <row r="76" spans="1:11" s="302" customFormat="1" ht="15" x14ac:dyDescent="0.25">
      <c r="A76" s="303" t="s">
        <v>22</v>
      </c>
      <c r="B76" s="362" t="s">
        <v>37</v>
      </c>
      <c r="C76" s="363"/>
      <c r="D76" s="364" t="s">
        <v>19</v>
      </c>
      <c r="E76" s="365"/>
      <c r="F76" s="301"/>
      <c r="G76" s="301"/>
      <c r="H76" s="301"/>
      <c r="I76" s="301"/>
      <c r="J76" s="301"/>
    </row>
    <row r="77" spans="1:11" s="302" customFormat="1" x14ac:dyDescent="0.2">
      <c r="A77" s="304">
        <v>226</v>
      </c>
      <c r="B77" s="366">
        <f>IF(D77=0,0,ROUND(D77/('проверка 2017'!I4+'проверка 2017'!J4+'проверка 2017'!K4+'проверка 2017'!L4+'проверка 2017'!M4+'проверка 2017'!N4+'проверка 2017'!O4),2))</f>
        <v>0</v>
      </c>
      <c r="C77" s="367"/>
      <c r="D77" s="368">
        <f>'проверка 2017'!C30</f>
        <v>0</v>
      </c>
      <c r="E77" s="369"/>
      <c r="F77" s="301"/>
      <c r="G77" s="301"/>
      <c r="H77" s="301"/>
      <c r="I77" s="301"/>
      <c r="J77" s="301"/>
    </row>
    <row r="78" spans="1:11" s="302" customFormat="1" ht="13.5" thickBot="1" x14ac:dyDescent="0.25">
      <c r="A78" s="305">
        <v>340</v>
      </c>
      <c r="B78" s="370">
        <f>IF(D78=0,0,ROUND(D78/('[1]проверка 2017'!H17+'[1]проверка 2017'!I17),2))</f>
        <v>0</v>
      </c>
      <c r="C78" s="371"/>
      <c r="D78" s="372">
        <f>'проверка 2017'!C31</f>
        <v>0</v>
      </c>
      <c r="E78" s="373"/>
      <c r="F78" s="301"/>
      <c r="G78" s="301"/>
      <c r="H78" s="301"/>
      <c r="I78" s="301"/>
      <c r="J78" s="301"/>
    </row>
    <row r="79" spans="1:11" x14ac:dyDescent="0.2">
      <c r="K79" s="2"/>
    </row>
    <row r="80" spans="1:11" ht="55.5" customHeight="1" thickBot="1" x14ac:dyDescent="0.3">
      <c r="A80" s="355" t="s">
        <v>8</v>
      </c>
      <c r="B80" s="355"/>
      <c r="C80" s="355"/>
      <c r="D80" s="355"/>
      <c r="E80" s="355"/>
      <c r="F80" s="355"/>
      <c r="G80" s="355"/>
      <c r="K80" s="2"/>
    </row>
    <row r="81" spans="1:11" ht="38.25" x14ac:dyDescent="0.2">
      <c r="A81" s="198" t="s">
        <v>7</v>
      </c>
      <c r="B81" s="189" t="s">
        <v>6</v>
      </c>
      <c r="C81" s="189" t="s">
        <v>5</v>
      </c>
      <c r="D81" s="189" t="s">
        <v>4</v>
      </c>
      <c r="E81" s="189" t="s">
        <v>3</v>
      </c>
      <c r="F81" s="189" t="s">
        <v>2</v>
      </c>
      <c r="G81" s="190" t="s">
        <v>1</v>
      </c>
      <c r="K81" s="2"/>
    </row>
    <row r="82" spans="1:11" x14ac:dyDescent="0.2">
      <c r="A82" s="12">
        <f>M24</f>
        <v>27.799999999999997</v>
      </c>
      <c r="B82" s="11">
        <f>Q24</f>
        <v>11798.59</v>
      </c>
      <c r="C82" s="11">
        <f>R24</f>
        <v>1.1256071743455118</v>
      </c>
      <c r="D82" s="11">
        <v>8</v>
      </c>
      <c r="E82" s="11">
        <v>1</v>
      </c>
      <c r="F82" s="14">
        <f>ROUND((A82*B82*C82)*D82*E82,0)</f>
        <v>2953600</v>
      </c>
      <c r="G82" s="13">
        <f>ROUND(F82*30.2%,0)</f>
        <v>891987</v>
      </c>
    </row>
    <row r="83" spans="1:11" x14ac:dyDescent="0.2">
      <c r="A83" s="12">
        <f>M32</f>
        <v>27.299999999999997</v>
      </c>
      <c r="B83" s="11">
        <f>Q32</f>
        <v>12017.84</v>
      </c>
      <c r="C83" s="11">
        <f>R32</f>
        <v>1.1597399165465256</v>
      </c>
      <c r="D83" s="11">
        <v>3</v>
      </c>
      <c r="E83" s="11">
        <v>1</v>
      </c>
      <c r="F83" s="281">
        <f t="shared" ref="F83" si="5">ROUND((A83*B83*C83)*D83*E83,0)</f>
        <v>1141487</v>
      </c>
      <c r="G83" s="13">
        <f>ROUND(F83*30.2%,0)-1050</f>
        <v>343679</v>
      </c>
    </row>
    <row r="84" spans="1:11" x14ac:dyDescent="0.2">
      <c r="A84" s="12">
        <f>M36</f>
        <v>27.299999999999997</v>
      </c>
      <c r="B84" s="11">
        <f>Q36</f>
        <v>12017.84</v>
      </c>
      <c r="C84" s="11">
        <f>R36</f>
        <v>1.1597399165465256</v>
      </c>
      <c r="D84" s="11">
        <v>1</v>
      </c>
      <c r="E84" s="11">
        <v>1</v>
      </c>
      <c r="F84" s="281">
        <f>ROUND((A84*B84*C84)*D84*E84,0)-3</f>
        <v>380493</v>
      </c>
      <c r="G84" s="13">
        <f t="shared" ref="G84" si="6">ROUND(F84*30.2%,0)</f>
        <v>114909</v>
      </c>
    </row>
    <row r="85" spans="1:11" x14ac:dyDescent="0.2">
      <c r="A85" s="12">
        <f>M42</f>
        <v>0</v>
      </c>
      <c r="B85" s="296"/>
      <c r="C85" s="30"/>
      <c r="D85" s="296">
        <v>1</v>
      </c>
      <c r="E85" s="296">
        <v>1</v>
      </c>
      <c r="F85" s="14">
        <f>ROUND((A85*B85*C85)*D85*E85,0)</f>
        <v>0</v>
      </c>
      <c r="G85" s="13">
        <f>ROUND(F85*30.2%,0)</f>
        <v>0</v>
      </c>
    </row>
    <row r="86" spans="1:11" ht="38.25" x14ac:dyDescent="0.2">
      <c r="A86" s="12">
        <f>M46</f>
        <v>0</v>
      </c>
      <c r="B86" s="11" t="s">
        <v>247</v>
      </c>
      <c r="C86" s="11">
        <f>R46</f>
        <v>0</v>
      </c>
      <c r="D86" s="11"/>
      <c r="E86" s="11"/>
      <c r="F86" s="11"/>
      <c r="G86" s="313"/>
    </row>
    <row r="87" spans="1:11" x14ac:dyDescent="0.2">
      <c r="A87" s="12">
        <f>M41</f>
        <v>0</v>
      </c>
      <c r="B87" s="282"/>
      <c r="C87" s="30"/>
      <c r="D87" s="282"/>
      <c r="E87" s="282"/>
      <c r="F87" s="281">
        <f>ROUND((A87*B87*C87)*D87*E87,0)</f>
        <v>0</v>
      </c>
      <c r="G87" s="13">
        <f t="shared" ref="G87" si="7">ROUND(F87*30.2%,0)</f>
        <v>0</v>
      </c>
    </row>
    <row r="88" spans="1:11" ht="13.5" thickBot="1" x14ac:dyDescent="0.25">
      <c r="A88" s="10" t="s">
        <v>0</v>
      </c>
      <c r="B88" s="9"/>
      <c r="C88" s="9"/>
      <c r="D88" s="9"/>
      <c r="E88" s="9"/>
      <c r="F88" s="8">
        <f>SUM(F82:F87)</f>
        <v>4475580</v>
      </c>
      <c r="G88" s="7">
        <f>SUM(G82:G87)</f>
        <v>1350575</v>
      </c>
    </row>
    <row r="89" spans="1:11" x14ac:dyDescent="0.2">
      <c r="F89" s="307">
        <f>F88+F38</f>
        <v>14602467</v>
      </c>
      <c r="G89" s="307">
        <f>G88+G38</f>
        <v>4408895</v>
      </c>
    </row>
    <row r="90" spans="1:11" x14ac:dyDescent="0.2">
      <c r="F90" s="301"/>
      <c r="G90" s="307">
        <f>G89-'проверка 2017'!C8</f>
        <v>0</v>
      </c>
    </row>
    <row r="92" spans="1:11" s="302" customFormat="1" ht="60" customHeight="1" thickBot="1" x14ac:dyDescent="0.3">
      <c r="A92" s="361" t="s">
        <v>228</v>
      </c>
      <c r="B92" s="361"/>
      <c r="C92" s="361"/>
      <c r="D92" s="361"/>
      <c r="E92" s="361"/>
      <c r="F92" s="361"/>
      <c r="G92" s="361"/>
      <c r="H92" s="301"/>
      <c r="I92" s="301"/>
      <c r="J92" s="301"/>
    </row>
    <row r="93" spans="1:11" s="302" customFormat="1" ht="15" x14ac:dyDescent="0.25">
      <c r="A93" s="303" t="s">
        <v>22</v>
      </c>
      <c r="B93" s="362" t="s">
        <v>37</v>
      </c>
      <c r="C93" s="363"/>
      <c r="D93" s="364" t="s">
        <v>19</v>
      </c>
      <c r="E93" s="365"/>
      <c r="F93" s="301"/>
      <c r="G93" s="301"/>
      <c r="H93" s="301"/>
      <c r="I93" s="301"/>
      <c r="J93" s="301"/>
    </row>
    <row r="94" spans="1:11" s="302" customFormat="1" x14ac:dyDescent="0.2">
      <c r="A94" s="304">
        <v>226</v>
      </c>
      <c r="B94" s="366">
        <f>IF(D94=0,0,ROUND(D94/('проверка 2017'!I4+'проверка 2017'!J4+'проверка 2017'!K4+'проверка 2017'!L4+'проверка 2017'!M4+'проверка 2017'!N4+'проверка 2017'!O4),2))</f>
        <v>0</v>
      </c>
      <c r="C94" s="367"/>
      <c r="D94" s="368">
        <f>'проверка 2017'!C14</f>
        <v>0</v>
      </c>
      <c r="E94" s="369"/>
      <c r="F94" s="301"/>
      <c r="G94" s="301"/>
      <c r="H94" s="301"/>
      <c r="I94" s="301"/>
      <c r="J94" s="301"/>
    </row>
    <row r="95" spans="1:11" s="302" customFormat="1" ht="13.5" thickBot="1" x14ac:dyDescent="0.25">
      <c r="A95" s="305">
        <v>340</v>
      </c>
      <c r="B95" s="370">
        <f>IF(D95=0,0,ROUND(D95/('проверка 2017'!I4+'проверка 2017'!J4+'проверка 2017'!K4+'проверка 2017'!L4+'проверка 2017'!M4+'проверка 2017'!N4+'проверка 2017'!O4),2))</f>
        <v>1.5</v>
      </c>
      <c r="C95" s="371"/>
      <c r="D95" s="372">
        <f>'проверка 2017'!C15</f>
        <v>1050</v>
      </c>
      <c r="E95" s="373"/>
      <c r="F95" s="301"/>
      <c r="G95" s="301"/>
      <c r="H95" s="301"/>
      <c r="I95" s="301"/>
      <c r="J95" s="301"/>
    </row>
    <row r="102" spans="1:10" x14ac:dyDescent="0.2">
      <c r="A102" s="5" t="s">
        <v>255</v>
      </c>
      <c r="B102" s="61"/>
      <c r="C102" s="186"/>
      <c r="D102" s="186"/>
      <c r="E102" s="5" t="s">
        <v>250</v>
      </c>
      <c r="F102" s="5"/>
      <c r="G102" s="3"/>
    </row>
    <row r="103" spans="1:10" x14ac:dyDescent="0.2">
      <c r="A103" s="58"/>
      <c r="B103" s="58"/>
      <c r="C103" s="58"/>
      <c r="D103" s="58"/>
      <c r="E103" s="1"/>
      <c r="F103" s="1"/>
      <c r="G103" s="3"/>
    </row>
    <row r="104" spans="1:10" x14ac:dyDescent="0.2">
      <c r="A104" s="1" t="s">
        <v>254</v>
      </c>
      <c r="B104" s="58"/>
      <c r="C104" s="187"/>
      <c r="D104" s="187"/>
      <c r="E104" s="1" t="s">
        <v>251</v>
      </c>
      <c r="F104" s="1"/>
      <c r="G104" s="3"/>
    </row>
    <row r="105" spans="1:10" x14ac:dyDescent="0.2">
      <c r="J105" s="25"/>
    </row>
  </sheetData>
  <mergeCells count="42">
    <mergeCell ref="B95:C95"/>
    <mergeCell ref="D95:E95"/>
    <mergeCell ref="A92:G92"/>
    <mergeCell ref="B93:C93"/>
    <mergeCell ref="D93:E93"/>
    <mergeCell ref="B94:C94"/>
    <mergeCell ref="D94:E94"/>
    <mergeCell ref="D12:E12"/>
    <mergeCell ref="F1:G1"/>
    <mergeCell ref="A2:G2"/>
    <mergeCell ref="F3:G3"/>
    <mergeCell ref="A4:G4"/>
    <mergeCell ref="A11:G11"/>
    <mergeCell ref="D43:E43"/>
    <mergeCell ref="A31:G31"/>
    <mergeCell ref="A40:G40"/>
    <mergeCell ref="D13:E13"/>
    <mergeCell ref="F62:G62"/>
    <mergeCell ref="D42:E42"/>
    <mergeCell ref="D44:E44"/>
    <mergeCell ref="D14:E14"/>
    <mergeCell ref="D41:E41"/>
    <mergeCell ref="A19:G19"/>
    <mergeCell ref="A48:G48"/>
    <mergeCell ref="B49:C49"/>
    <mergeCell ref="D49:E49"/>
    <mergeCell ref="B50:C50"/>
    <mergeCell ref="D50:E50"/>
    <mergeCell ref="B51:C51"/>
    <mergeCell ref="A80:G80"/>
    <mergeCell ref="D45:E45"/>
    <mergeCell ref="D46:E46"/>
    <mergeCell ref="A63:G63"/>
    <mergeCell ref="A65:G65"/>
    <mergeCell ref="A75:G75"/>
    <mergeCell ref="B76:C76"/>
    <mergeCell ref="D76:E76"/>
    <mergeCell ref="B77:C77"/>
    <mergeCell ref="D77:E77"/>
    <mergeCell ref="B78:C78"/>
    <mergeCell ref="D78:E78"/>
    <mergeCell ref="D51:E51"/>
  </mergeCells>
  <pageMargins left="0.59055118110236227" right="0" top="0.74803149606299213" bottom="0.74803149606299213" header="0.31496062992125984" footer="0.31496062992125984"/>
  <pageSetup paperSize="9" orientation="portrait" r:id="rId1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81"/>
  <sheetViews>
    <sheetView topLeftCell="A20" workbookViewId="0">
      <selection activeCell="J87" sqref="J87"/>
    </sheetView>
  </sheetViews>
  <sheetFormatPr defaultRowHeight="12.75" x14ac:dyDescent="0.2"/>
  <cols>
    <col min="1" max="1" width="23.42578125" style="1" customWidth="1"/>
    <col min="2" max="2" width="16.85546875" style="1" customWidth="1"/>
    <col min="3" max="4" width="12.85546875" style="1" customWidth="1"/>
    <col min="5" max="5" width="13" style="1" customWidth="1"/>
    <col min="6" max="6" width="11.7109375" style="1" customWidth="1"/>
    <col min="7" max="7" width="10.42578125" style="1" customWidth="1"/>
    <col min="8" max="16384" width="9.140625" style="1"/>
  </cols>
  <sheetData>
    <row r="1" spans="1:7" x14ac:dyDescent="0.2">
      <c r="E1" s="399" t="s">
        <v>64</v>
      </c>
      <c r="F1" s="399"/>
    </row>
    <row r="2" spans="1:7" ht="13.5" thickBot="1" x14ac:dyDescent="0.25">
      <c r="A2" s="400" t="s">
        <v>63</v>
      </c>
      <c r="B2" s="400"/>
      <c r="C2" s="400"/>
      <c r="D2" s="400"/>
      <c r="E2" s="400"/>
      <c r="F2" s="400"/>
    </row>
    <row r="3" spans="1:7" s="56" customFormat="1" ht="13.5" hidden="1" thickBot="1" x14ac:dyDescent="0.25">
      <c r="A3" s="55"/>
      <c r="B3" s="55"/>
      <c r="C3" s="55"/>
      <c r="D3" s="55"/>
      <c r="E3" s="55"/>
      <c r="F3" s="55"/>
      <c r="G3" s="53"/>
    </row>
    <row r="4" spans="1:7" ht="13.5" hidden="1" thickBot="1" x14ac:dyDescent="0.25">
      <c r="A4" s="55"/>
      <c r="B4" s="55"/>
      <c r="C4" s="55"/>
      <c r="D4" s="55"/>
      <c r="E4" s="55"/>
      <c r="F4" s="55"/>
      <c r="G4" s="40"/>
    </row>
    <row r="5" spans="1:7" s="2" customFormat="1" ht="24" x14ac:dyDescent="0.2">
      <c r="A5" s="205"/>
      <c r="B5" s="206" t="s">
        <v>52</v>
      </c>
      <c r="C5" s="206" t="s">
        <v>51</v>
      </c>
      <c r="D5" s="206" t="s">
        <v>4</v>
      </c>
      <c r="E5" s="206" t="s">
        <v>3</v>
      </c>
      <c r="F5" s="207" t="s">
        <v>50</v>
      </c>
      <c r="G5" s="50"/>
    </row>
    <row r="6" spans="1:7" x14ac:dyDescent="0.2">
      <c r="A6" s="178" t="s">
        <v>173</v>
      </c>
      <c r="B6" s="294">
        <v>5596.3</v>
      </c>
      <c r="C6" s="294">
        <v>1</v>
      </c>
      <c r="D6" s="294">
        <v>12</v>
      </c>
      <c r="E6" s="45">
        <v>1</v>
      </c>
      <c r="F6" s="312">
        <f t="shared" ref="F6:F9" si="0">ROUND(B6*C6*D6*E6,2)</f>
        <v>67155.600000000006</v>
      </c>
      <c r="G6" s="40"/>
    </row>
    <row r="7" spans="1:7" x14ac:dyDescent="0.2">
      <c r="A7" s="178" t="s">
        <v>62</v>
      </c>
      <c r="B7" s="294"/>
      <c r="C7" s="294"/>
      <c r="D7" s="294"/>
      <c r="E7" s="45">
        <v>1</v>
      </c>
      <c r="F7" s="177">
        <f t="shared" si="0"/>
        <v>0</v>
      </c>
      <c r="G7" s="40"/>
    </row>
    <row r="8" spans="1:7" x14ac:dyDescent="0.2">
      <c r="A8" s="178" t="s">
        <v>62</v>
      </c>
      <c r="B8" s="294"/>
      <c r="C8" s="294"/>
      <c r="D8" s="294"/>
      <c r="E8" s="45">
        <v>1</v>
      </c>
      <c r="F8" s="177">
        <f t="shared" si="0"/>
        <v>0</v>
      </c>
      <c r="G8" s="40"/>
    </row>
    <row r="9" spans="1:7" x14ac:dyDescent="0.2">
      <c r="A9" s="178" t="s">
        <v>174</v>
      </c>
      <c r="B9" s="294">
        <v>256.85000000000002</v>
      </c>
      <c r="C9" s="45">
        <v>1</v>
      </c>
      <c r="D9" s="45">
        <v>12</v>
      </c>
      <c r="E9" s="45">
        <v>1</v>
      </c>
      <c r="F9" s="312">
        <f t="shared" si="0"/>
        <v>3082.2</v>
      </c>
      <c r="G9" s="40"/>
    </row>
    <row r="10" spans="1:7" x14ac:dyDescent="0.2">
      <c r="A10" s="178" t="s">
        <v>175</v>
      </c>
      <c r="B10" s="45">
        <v>1000</v>
      </c>
      <c r="C10" s="45">
        <v>1</v>
      </c>
      <c r="D10" s="45">
        <v>12</v>
      </c>
      <c r="E10" s="45">
        <v>1</v>
      </c>
      <c r="F10" s="312">
        <f>ROUND(B10*C10*D10*E10,2)</f>
        <v>12000</v>
      </c>
      <c r="G10" s="40"/>
    </row>
    <row r="11" spans="1:7" x14ac:dyDescent="0.2">
      <c r="A11" s="178" t="s">
        <v>232</v>
      </c>
      <c r="B11" s="45"/>
      <c r="C11" s="45"/>
      <c r="D11" s="45"/>
      <c r="E11" s="45">
        <v>1</v>
      </c>
      <c r="F11" s="312">
        <f t="shared" ref="F11:F29" si="1">ROUND(B11*C11*D11*E11,2)</f>
        <v>0</v>
      </c>
      <c r="G11" s="40"/>
    </row>
    <row r="12" spans="1:7" ht="24" x14ac:dyDescent="0.2">
      <c r="A12" s="178" t="s">
        <v>176</v>
      </c>
      <c r="B12" s="45">
        <v>2253</v>
      </c>
      <c r="C12" s="45">
        <v>1</v>
      </c>
      <c r="D12" s="45">
        <v>12</v>
      </c>
      <c r="E12" s="45">
        <v>1</v>
      </c>
      <c r="F12" s="312">
        <f t="shared" si="1"/>
        <v>27036</v>
      </c>
      <c r="G12" s="40"/>
    </row>
    <row r="13" spans="1:7" x14ac:dyDescent="0.2">
      <c r="A13" s="178" t="s">
        <v>162</v>
      </c>
      <c r="B13" s="45">
        <v>1500</v>
      </c>
      <c r="C13" s="45">
        <v>1</v>
      </c>
      <c r="D13" s="45">
        <v>12</v>
      </c>
      <c r="E13" s="45">
        <v>1</v>
      </c>
      <c r="F13" s="312">
        <f t="shared" si="1"/>
        <v>18000</v>
      </c>
      <c r="G13" s="40"/>
    </row>
    <row r="14" spans="1:7" x14ac:dyDescent="0.2">
      <c r="A14" s="178" t="s">
        <v>233</v>
      </c>
      <c r="B14" s="45">
        <v>100000</v>
      </c>
      <c r="C14" s="45">
        <v>1</v>
      </c>
      <c r="D14" s="45">
        <v>1</v>
      </c>
      <c r="E14" s="45">
        <v>1</v>
      </c>
      <c r="F14" s="312">
        <f t="shared" si="1"/>
        <v>100000</v>
      </c>
      <c r="G14" s="40"/>
    </row>
    <row r="15" spans="1:7" ht="24" x14ac:dyDescent="0.2">
      <c r="A15" s="178" t="s">
        <v>60</v>
      </c>
      <c r="B15" s="45">
        <v>4000</v>
      </c>
      <c r="C15" s="45">
        <v>1</v>
      </c>
      <c r="D15" s="45">
        <v>1</v>
      </c>
      <c r="E15" s="45">
        <v>1</v>
      </c>
      <c r="F15" s="177">
        <f t="shared" si="1"/>
        <v>4000</v>
      </c>
      <c r="G15" s="40"/>
    </row>
    <row r="16" spans="1:7" x14ac:dyDescent="0.2">
      <c r="A16" s="178" t="s">
        <v>59</v>
      </c>
      <c r="B16" s="45">
        <v>1196.97</v>
      </c>
      <c r="C16" s="45">
        <v>1</v>
      </c>
      <c r="D16" s="45">
        <v>12</v>
      </c>
      <c r="E16" s="45">
        <v>1</v>
      </c>
      <c r="F16" s="204">
        <f t="shared" si="1"/>
        <v>14363.64</v>
      </c>
      <c r="G16" s="40"/>
    </row>
    <row r="17" spans="1:7" x14ac:dyDescent="0.2">
      <c r="A17" s="178" t="s">
        <v>58</v>
      </c>
      <c r="B17" s="45"/>
      <c r="C17" s="45"/>
      <c r="D17" s="45"/>
      <c r="E17" s="45">
        <v>1</v>
      </c>
      <c r="F17" s="177">
        <f t="shared" si="1"/>
        <v>0</v>
      </c>
      <c r="G17" s="40"/>
    </row>
    <row r="18" spans="1:7" x14ac:dyDescent="0.2">
      <c r="A18" s="178" t="s">
        <v>177</v>
      </c>
      <c r="B18" s="45"/>
      <c r="C18" s="45"/>
      <c r="D18" s="45"/>
      <c r="E18" s="45">
        <v>1</v>
      </c>
      <c r="F18" s="312">
        <f t="shared" si="1"/>
        <v>0</v>
      </c>
      <c r="G18" s="40"/>
    </row>
    <row r="19" spans="1:7" x14ac:dyDescent="0.2">
      <c r="A19" s="178" t="s">
        <v>178</v>
      </c>
      <c r="B19" s="45"/>
      <c r="C19" s="45"/>
      <c r="D19" s="45"/>
      <c r="E19" s="45">
        <v>1</v>
      </c>
      <c r="F19" s="312">
        <f t="shared" si="1"/>
        <v>0</v>
      </c>
      <c r="G19" s="40"/>
    </row>
    <row r="20" spans="1:7" x14ac:dyDescent="0.2">
      <c r="A20" s="178" t="s">
        <v>179</v>
      </c>
      <c r="B20" s="45"/>
      <c r="C20" s="45"/>
      <c r="D20" s="45"/>
      <c r="E20" s="45">
        <v>1</v>
      </c>
      <c r="F20" s="204">
        <f>ROUND(B20*C20*D20*E20,2)</f>
        <v>0</v>
      </c>
      <c r="G20" s="40"/>
    </row>
    <row r="21" spans="1:7" x14ac:dyDescent="0.2">
      <c r="A21" s="178" t="s">
        <v>248</v>
      </c>
      <c r="B21" s="45"/>
      <c r="C21" s="45">
        <v>1</v>
      </c>
      <c r="D21" s="45">
        <v>1</v>
      </c>
      <c r="E21" s="45">
        <v>1</v>
      </c>
      <c r="F21" s="204">
        <f t="shared" si="1"/>
        <v>0</v>
      </c>
      <c r="G21" s="40"/>
    </row>
    <row r="22" spans="1:7" ht="22.5" customHeight="1" x14ac:dyDescent="0.2">
      <c r="A22" s="179" t="s">
        <v>56</v>
      </c>
      <c r="B22" s="45">
        <v>1100</v>
      </c>
      <c r="C22" s="45">
        <v>1</v>
      </c>
      <c r="D22" s="45">
        <v>12</v>
      </c>
      <c r="E22" s="45">
        <v>1</v>
      </c>
      <c r="F22" s="312">
        <f t="shared" si="1"/>
        <v>13200</v>
      </c>
      <c r="G22" s="40"/>
    </row>
    <row r="23" spans="1:7" ht="26.25" customHeight="1" x14ac:dyDescent="0.2">
      <c r="A23" s="179" t="s">
        <v>234</v>
      </c>
      <c r="B23" s="45"/>
      <c r="C23" s="45"/>
      <c r="D23" s="45"/>
      <c r="E23" s="45">
        <v>1</v>
      </c>
      <c r="F23" s="204">
        <f t="shared" si="1"/>
        <v>0</v>
      </c>
      <c r="G23" s="40"/>
    </row>
    <row r="24" spans="1:7" ht="26.25" customHeight="1" x14ac:dyDescent="0.2">
      <c r="A24" s="179" t="s">
        <v>246</v>
      </c>
      <c r="B24" s="45"/>
      <c r="C24" s="45"/>
      <c r="D24" s="45"/>
      <c r="E24" s="45">
        <v>1</v>
      </c>
      <c r="F24" s="312">
        <f t="shared" si="1"/>
        <v>0</v>
      </c>
      <c r="G24" s="40"/>
    </row>
    <row r="25" spans="1:7" ht="24" x14ac:dyDescent="0.2">
      <c r="A25" s="178" t="s">
        <v>180</v>
      </c>
      <c r="B25" s="45"/>
      <c r="C25" s="45"/>
      <c r="D25" s="45"/>
      <c r="E25" s="45">
        <v>1</v>
      </c>
      <c r="F25" s="204">
        <f t="shared" si="1"/>
        <v>0</v>
      </c>
      <c r="G25" s="40"/>
    </row>
    <row r="26" spans="1:7" ht="24.75" thickBot="1" x14ac:dyDescent="0.25">
      <c r="A26" s="180" t="s">
        <v>181</v>
      </c>
      <c r="B26" s="42">
        <v>1605.26</v>
      </c>
      <c r="C26" s="42">
        <v>1</v>
      </c>
      <c r="D26" s="42">
        <v>12</v>
      </c>
      <c r="E26" s="42">
        <v>1</v>
      </c>
      <c r="F26" s="312">
        <f>ROUND(B26*C26*D26*E26,2)+0.08</f>
        <v>19263.2</v>
      </c>
      <c r="G26" s="40"/>
    </row>
    <row r="27" spans="1:7" hidden="1" x14ac:dyDescent="0.2">
      <c r="A27" s="54"/>
      <c r="B27" s="53"/>
      <c r="C27" s="53"/>
      <c r="D27" s="53"/>
      <c r="E27" s="53"/>
      <c r="F27" s="177">
        <f t="shared" si="1"/>
        <v>0</v>
      </c>
      <c r="G27" s="40"/>
    </row>
    <row r="28" spans="1:7" hidden="1" x14ac:dyDescent="0.2">
      <c r="A28" s="54"/>
      <c r="B28" s="53"/>
      <c r="C28" s="53"/>
      <c r="D28" s="53"/>
      <c r="E28" s="53"/>
      <c r="F28" s="177">
        <f t="shared" si="1"/>
        <v>0</v>
      </c>
      <c r="G28" s="40"/>
    </row>
    <row r="29" spans="1:7" hidden="1" x14ac:dyDescent="0.2">
      <c r="A29" s="50"/>
      <c r="B29" s="40"/>
      <c r="C29" s="40"/>
      <c r="D29" s="40"/>
      <c r="E29" s="40"/>
      <c r="F29" s="177">
        <f t="shared" si="1"/>
        <v>0</v>
      </c>
      <c r="G29" s="40"/>
    </row>
    <row r="30" spans="1:7" ht="15.75" customHeight="1" x14ac:dyDescent="0.2">
      <c r="A30" s="401" t="s">
        <v>55</v>
      </c>
      <c r="B30" s="401"/>
      <c r="C30" s="401"/>
      <c r="D30" s="401"/>
      <c r="E30" s="401"/>
      <c r="F30" s="401"/>
      <c r="G30" s="40"/>
    </row>
    <row r="31" spans="1:7" ht="13.5" thickBot="1" x14ac:dyDescent="0.25">
      <c r="A31" s="50"/>
      <c r="B31" s="40"/>
      <c r="C31" s="40"/>
      <c r="D31" s="40"/>
      <c r="E31" s="40"/>
      <c r="F31" s="40"/>
      <c r="G31" s="40"/>
    </row>
    <row r="32" spans="1:7" ht="24" x14ac:dyDescent="0.2">
      <c r="A32" s="205"/>
      <c r="B32" s="206" t="s">
        <v>52</v>
      </c>
      <c r="C32" s="206" t="s">
        <v>51</v>
      </c>
      <c r="D32" s="206" t="s">
        <v>4</v>
      </c>
      <c r="E32" s="206" t="s">
        <v>3</v>
      </c>
      <c r="F32" s="207" t="s">
        <v>50</v>
      </c>
      <c r="G32" s="40"/>
    </row>
    <row r="33" spans="1:7" ht="24" x14ac:dyDescent="0.2">
      <c r="A33" s="47" t="s">
        <v>235</v>
      </c>
      <c r="B33" s="45"/>
      <c r="C33" s="45"/>
      <c r="D33" s="45"/>
      <c r="E33" s="45">
        <v>1</v>
      </c>
      <c r="F33" s="52">
        <f>ROUND(B33*C33*D33*E33,2)</f>
        <v>0</v>
      </c>
      <c r="G33" s="40"/>
    </row>
    <row r="34" spans="1:7" x14ac:dyDescent="0.2">
      <c r="A34" s="47" t="s">
        <v>200</v>
      </c>
      <c r="B34" s="45"/>
      <c r="C34" s="45"/>
      <c r="D34" s="45"/>
      <c r="E34" s="45">
        <v>1</v>
      </c>
      <c r="F34" s="52">
        <f>ROUND(B34*C34*D34*E34,2)</f>
        <v>0</v>
      </c>
      <c r="G34" s="40"/>
    </row>
    <row r="35" spans="1:7" x14ac:dyDescent="0.2">
      <c r="A35" s="47" t="s">
        <v>236</v>
      </c>
      <c r="B35" s="45"/>
      <c r="C35" s="45"/>
      <c r="D35" s="45"/>
      <c r="E35" s="45">
        <v>1</v>
      </c>
      <c r="F35" s="52">
        <f t="shared" ref="F35:F37" si="2">ROUND(B35*C35*D35*E35,2)</f>
        <v>0</v>
      </c>
      <c r="G35" s="40"/>
    </row>
    <row r="36" spans="1:7" ht="24" x14ac:dyDescent="0.2">
      <c r="A36" s="47" t="s">
        <v>199</v>
      </c>
      <c r="B36" s="45">
        <v>247.8</v>
      </c>
      <c r="C36" s="45">
        <v>1</v>
      </c>
      <c r="D36" s="45">
        <v>12</v>
      </c>
      <c r="E36" s="45">
        <v>1</v>
      </c>
      <c r="F36" s="52">
        <f t="shared" si="2"/>
        <v>2973.6</v>
      </c>
      <c r="G36" s="40"/>
    </row>
    <row r="37" spans="1:7" x14ac:dyDescent="0.2">
      <c r="A37" s="47" t="s">
        <v>200</v>
      </c>
      <c r="B37" s="45">
        <v>0.56999999999999995</v>
      </c>
      <c r="C37" s="45">
        <v>460</v>
      </c>
      <c r="D37" s="45">
        <v>12</v>
      </c>
      <c r="E37" s="45">
        <v>1</v>
      </c>
      <c r="F37" s="52">
        <f t="shared" si="2"/>
        <v>3146.4</v>
      </c>
      <c r="G37" s="40"/>
    </row>
    <row r="38" spans="1:7" x14ac:dyDescent="0.2">
      <c r="A38" s="47" t="s">
        <v>225</v>
      </c>
      <c r="B38" s="45">
        <v>1276.76</v>
      </c>
      <c r="C38" s="45">
        <v>1</v>
      </c>
      <c r="D38" s="45">
        <v>12</v>
      </c>
      <c r="E38" s="45">
        <v>1</v>
      </c>
      <c r="F38" s="52">
        <f>ROUND(B38*C38*D38*E38,0)</f>
        <v>15321</v>
      </c>
      <c r="G38" s="40"/>
    </row>
    <row r="39" spans="1:7" ht="13.5" thickBot="1" x14ac:dyDescent="0.25">
      <c r="A39" s="51" t="s">
        <v>0</v>
      </c>
      <c r="B39" s="42"/>
      <c r="C39" s="42"/>
      <c r="D39" s="42"/>
      <c r="E39" s="42"/>
      <c r="F39" s="227">
        <f>F33+F35+F34+F36+F37+F38</f>
        <v>21441</v>
      </c>
      <c r="G39" s="40"/>
    </row>
    <row r="40" spans="1:7" ht="27" hidden="1" customHeight="1" thickBot="1" x14ac:dyDescent="0.25">
      <c r="A40" s="224" t="s">
        <v>54</v>
      </c>
      <c r="B40" s="225"/>
      <c r="C40" s="225"/>
      <c r="D40" s="225"/>
      <c r="E40" s="225"/>
      <c r="F40" s="226">
        <f>ROUND(B40*C40*D40*E40,2)</f>
        <v>0</v>
      </c>
      <c r="G40" s="40"/>
    </row>
    <row r="41" spans="1:7" x14ac:dyDescent="0.2">
      <c r="A41" s="50"/>
      <c r="B41" s="40"/>
      <c r="C41" s="40"/>
      <c r="D41" s="40"/>
      <c r="E41" s="40"/>
      <c r="F41" s="40"/>
      <c r="G41" s="40"/>
    </row>
    <row r="42" spans="1:7" x14ac:dyDescent="0.2">
      <c r="A42" s="40"/>
      <c r="B42" s="40"/>
      <c r="C42" s="40"/>
      <c r="D42" s="40"/>
      <c r="E42" s="40"/>
      <c r="F42" s="40"/>
      <c r="G42" s="40"/>
    </row>
    <row r="43" spans="1:7" x14ac:dyDescent="0.2">
      <c r="A43" s="402" t="s">
        <v>53</v>
      </c>
      <c r="B43" s="403"/>
      <c r="C43" s="403"/>
      <c r="D43" s="403"/>
      <c r="E43" s="403"/>
      <c r="F43" s="403"/>
      <c r="G43" s="40"/>
    </row>
    <row r="44" spans="1:7" ht="13.5" thickBot="1" x14ac:dyDescent="0.25">
      <c r="A44" s="40"/>
      <c r="B44" s="40"/>
      <c r="C44" s="40"/>
      <c r="D44" s="40"/>
      <c r="E44" s="40"/>
      <c r="F44" s="40"/>
      <c r="G44" s="40"/>
    </row>
    <row r="45" spans="1:7" ht="24" x14ac:dyDescent="0.2">
      <c r="A45" s="205"/>
      <c r="B45" s="206" t="s">
        <v>52</v>
      </c>
      <c r="C45" s="206" t="s">
        <v>51</v>
      </c>
      <c r="D45" s="206" t="s">
        <v>4</v>
      </c>
      <c r="E45" s="206" t="s">
        <v>3</v>
      </c>
      <c r="F45" s="207" t="s">
        <v>50</v>
      </c>
      <c r="G45" s="40"/>
    </row>
    <row r="46" spans="1:7" x14ac:dyDescent="0.2">
      <c r="A46" s="308" t="s">
        <v>237</v>
      </c>
      <c r="B46" s="309"/>
      <c r="C46" s="309"/>
      <c r="D46" s="309">
        <v>1</v>
      </c>
      <c r="E46" s="309">
        <v>1</v>
      </c>
      <c r="F46" s="44">
        <f t="shared" ref="F46:F50" si="3">ROUND(B46*C46*D46*E46,2)</f>
        <v>0</v>
      </c>
      <c r="G46" s="40"/>
    </row>
    <row r="47" spans="1:7" x14ac:dyDescent="0.2">
      <c r="A47" s="47" t="s">
        <v>238</v>
      </c>
      <c r="B47" s="310">
        <v>1300</v>
      </c>
      <c r="C47" s="310">
        <v>50</v>
      </c>
      <c r="D47" s="310">
        <v>1</v>
      </c>
      <c r="E47" s="310">
        <v>1</v>
      </c>
      <c r="F47" s="44">
        <f t="shared" si="3"/>
        <v>65000</v>
      </c>
      <c r="G47" s="40"/>
    </row>
    <row r="48" spans="1:7" x14ac:dyDescent="0.2">
      <c r="A48" s="47" t="s">
        <v>239</v>
      </c>
      <c r="B48" s="311">
        <v>1040</v>
      </c>
      <c r="C48" s="311">
        <v>5</v>
      </c>
      <c r="D48" s="311">
        <v>1</v>
      </c>
      <c r="E48" s="311">
        <v>1</v>
      </c>
      <c r="F48" s="203">
        <f t="shared" si="3"/>
        <v>5200</v>
      </c>
      <c r="G48" s="40"/>
    </row>
    <row r="49" spans="1:7" x14ac:dyDescent="0.2">
      <c r="A49" s="49" t="s">
        <v>240</v>
      </c>
      <c r="B49" s="311"/>
      <c r="C49" s="311"/>
      <c r="D49" s="311">
        <v>1</v>
      </c>
      <c r="E49" s="311">
        <v>1</v>
      </c>
      <c r="F49" s="203">
        <f t="shared" si="3"/>
        <v>0</v>
      </c>
      <c r="G49" s="40"/>
    </row>
    <row r="50" spans="1:7" x14ac:dyDescent="0.2">
      <c r="A50" s="49" t="s">
        <v>165</v>
      </c>
      <c r="B50" s="48">
        <v>200</v>
      </c>
      <c r="C50" s="48">
        <v>55</v>
      </c>
      <c r="D50" s="48">
        <v>1</v>
      </c>
      <c r="E50" s="48">
        <v>1</v>
      </c>
      <c r="F50" s="203">
        <f t="shared" si="3"/>
        <v>11000</v>
      </c>
      <c r="G50" s="40"/>
    </row>
    <row r="51" spans="1:7" x14ac:dyDescent="0.2">
      <c r="A51" s="47" t="s">
        <v>0</v>
      </c>
      <c r="B51" s="45"/>
      <c r="C51" s="45"/>
      <c r="D51" s="45"/>
      <c r="E51" s="45"/>
      <c r="F51" s="249">
        <f>SUM(F46:F50)</f>
        <v>81200</v>
      </c>
      <c r="G51" s="40"/>
    </row>
    <row r="52" spans="1:7" x14ac:dyDescent="0.2">
      <c r="A52" s="47" t="s">
        <v>245</v>
      </c>
      <c r="B52" s="45"/>
      <c r="C52" s="45"/>
      <c r="D52" s="45">
        <v>12</v>
      </c>
      <c r="E52" s="45">
        <v>1</v>
      </c>
      <c r="F52" s="203">
        <f>ROUND(B52*C52*D52*E52,2)</f>
        <v>0</v>
      </c>
      <c r="G52" s="40"/>
    </row>
    <row r="53" spans="1:7" x14ac:dyDescent="0.2">
      <c r="A53" s="47" t="s">
        <v>244</v>
      </c>
      <c r="B53" s="45"/>
      <c r="C53" s="45"/>
      <c r="D53" s="45"/>
      <c r="E53" s="45"/>
      <c r="F53" s="203">
        <f t="shared" ref="F53:F55" si="4">ROUND(B53*C53*D53*E53,0)</f>
        <v>0</v>
      </c>
      <c r="G53" s="40"/>
    </row>
    <row r="54" spans="1:7" ht="24" x14ac:dyDescent="0.2">
      <c r="A54" s="47" t="s">
        <v>242</v>
      </c>
      <c r="B54" s="45"/>
      <c r="C54" s="45"/>
      <c r="D54" s="45">
        <v>1</v>
      </c>
      <c r="E54" s="45">
        <v>1</v>
      </c>
      <c r="F54" s="203">
        <f t="shared" si="4"/>
        <v>0</v>
      </c>
      <c r="G54" s="40"/>
    </row>
    <row r="55" spans="1:7" ht="24" x14ac:dyDescent="0.2">
      <c r="A55" s="47" t="s">
        <v>243</v>
      </c>
      <c r="B55" s="45"/>
      <c r="C55" s="45"/>
      <c r="D55" s="45">
        <v>1</v>
      </c>
      <c r="E55" s="45">
        <v>1</v>
      </c>
      <c r="F55" s="203">
        <f t="shared" si="4"/>
        <v>0</v>
      </c>
      <c r="G55" s="40"/>
    </row>
    <row r="56" spans="1:7" x14ac:dyDescent="0.2">
      <c r="A56" s="47" t="s">
        <v>241</v>
      </c>
      <c r="B56" s="45"/>
      <c r="C56" s="45"/>
      <c r="D56" s="45">
        <v>1</v>
      </c>
      <c r="E56" s="45">
        <v>1</v>
      </c>
      <c r="F56" s="203">
        <f>ROUND(B56*C56*D56*E56,0)</f>
        <v>0</v>
      </c>
      <c r="G56" s="40"/>
    </row>
    <row r="57" spans="1:7" x14ac:dyDescent="0.2">
      <c r="A57" s="47" t="s">
        <v>201</v>
      </c>
      <c r="B57" s="45">
        <v>13904.36</v>
      </c>
      <c r="C57" s="45">
        <v>1</v>
      </c>
      <c r="D57" s="45">
        <v>1</v>
      </c>
      <c r="E57" s="45">
        <v>1</v>
      </c>
      <c r="F57" s="203">
        <f>ROUND(B57*C57*D57*E57,2)</f>
        <v>13904.36</v>
      </c>
      <c r="G57" s="40"/>
    </row>
    <row r="58" spans="1:7" ht="13.5" customHeight="1" x14ac:dyDescent="0.2">
      <c r="A58" s="47" t="s">
        <v>221</v>
      </c>
      <c r="B58" s="45">
        <v>2500</v>
      </c>
      <c r="C58" s="45">
        <v>1</v>
      </c>
      <c r="D58" s="45">
        <v>1</v>
      </c>
      <c r="E58" s="45">
        <v>1</v>
      </c>
      <c r="F58" s="203">
        <f t="shared" ref="F58:F62" si="5">ROUND(B58*C58*D58*E58,2)</f>
        <v>2500</v>
      </c>
      <c r="G58" s="40"/>
    </row>
    <row r="59" spans="1:7" ht="13.5" thickBot="1" x14ac:dyDescent="0.25">
      <c r="A59" s="51" t="s">
        <v>249</v>
      </c>
      <c r="B59" s="42">
        <v>78000</v>
      </c>
      <c r="C59" s="42">
        <v>1</v>
      </c>
      <c r="D59" s="42">
        <v>1</v>
      </c>
      <c r="E59" s="42">
        <v>1</v>
      </c>
      <c r="F59" s="223">
        <f t="shared" si="5"/>
        <v>78000</v>
      </c>
      <c r="G59" s="40"/>
    </row>
    <row r="60" spans="1:7" hidden="1" x14ac:dyDescent="0.2">
      <c r="A60" s="220"/>
      <c r="B60" s="221"/>
      <c r="C60" s="221"/>
      <c r="D60" s="221">
        <v>1</v>
      </c>
      <c r="E60" s="221">
        <v>1</v>
      </c>
      <c r="F60" s="222">
        <f t="shared" si="5"/>
        <v>0</v>
      </c>
      <c r="G60" s="40"/>
    </row>
    <row r="61" spans="1:7" hidden="1" x14ac:dyDescent="0.2">
      <c r="A61" s="47"/>
      <c r="B61" s="45"/>
      <c r="C61" s="45"/>
      <c r="D61" s="45">
        <v>1</v>
      </c>
      <c r="E61" s="45">
        <v>1</v>
      </c>
      <c r="F61" s="44">
        <f t="shared" si="5"/>
        <v>0</v>
      </c>
      <c r="G61" s="40"/>
    </row>
    <row r="62" spans="1:7" hidden="1" x14ac:dyDescent="0.2">
      <c r="A62" s="47"/>
      <c r="B62" s="45"/>
      <c r="C62" s="45"/>
      <c r="D62" s="45">
        <v>1</v>
      </c>
      <c r="E62" s="45">
        <v>1</v>
      </c>
      <c r="F62" s="44">
        <f t="shared" si="5"/>
        <v>0</v>
      </c>
      <c r="G62" s="40"/>
    </row>
    <row r="63" spans="1:7" hidden="1" x14ac:dyDescent="0.2">
      <c r="A63" s="396" t="s">
        <v>46</v>
      </c>
      <c r="B63" s="397"/>
      <c r="C63" s="397"/>
      <c r="D63" s="397"/>
      <c r="E63" s="397"/>
      <c r="F63" s="398"/>
      <c r="G63" s="40"/>
    </row>
    <row r="64" spans="1:7" hidden="1" x14ac:dyDescent="0.2">
      <c r="A64" s="46"/>
      <c r="B64" s="45"/>
      <c r="C64" s="45"/>
      <c r="D64" s="45"/>
      <c r="E64" s="45"/>
      <c r="F64" s="44"/>
      <c r="G64" s="40"/>
    </row>
    <row r="65" spans="1:82" hidden="1" x14ac:dyDescent="0.2">
      <c r="A65" s="46"/>
      <c r="B65" s="45"/>
      <c r="C65" s="45"/>
      <c r="D65" s="45"/>
      <c r="E65" s="45"/>
      <c r="F65" s="44"/>
      <c r="G65" s="40"/>
    </row>
    <row r="66" spans="1:82" hidden="1" x14ac:dyDescent="0.2">
      <c r="A66" s="46"/>
      <c r="B66" s="45"/>
      <c r="C66" s="45" t="s">
        <v>9</v>
      </c>
      <c r="D66" s="45"/>
      <c r="E66" s="45"/>
      <c r="F66" s="44"/>
      <c r="G66" s="40"/>
    </row>
    <row r="67" spans="1:82" hidden="1" x14ac:dyDescent="0.2">
      <c r="A67" s="46"/>
      <c r="B67" s="45"/>
      <c r="C67" s="45"/>
      <c r="D67" s="45"/>
      <c r="E67" s="45"/>
      <c r="F67" s="44"/>
      <c r="G67" s="40"/>
    </row>
    <row r="68" spans="1:82" hidden="1" x14ac:dyDescent="0.2">
      <c r="A68" s="46"/>
      <c r="B68" s="45"/>
      <c r="C68" s="45"/>
      <c r="D68" s="45"/>
      <c r="E68" s="45"/>
      <c r="F68" s="44"/>
      <c r="G68" s="40"/>
    </row>
    <row r="69" spans="1:82" hidden="1" x14ac:dyDescent="0.2">
      <c r="A69" s="46" t="s">
        <v>45</v>
      </c>
      <c r="B69" s="45"/>
      <c r="C69" s="45">
        <v>1</v>
      </c>
      <c r="D69" s="45">
        <v>1</v>
      </c>
      <c r="E69" s="45">
        <v>1</v>
      </c>
      <c r="F69" s="44">
        <f>ROUND(B69*C69*D69*E69,2)</f>
        <v>0</v>
      </c>
      <c r="G69" s="40"/>
    </row>
    <row r="70" spans="1:82" hidden="1" x14ac:dyDescent="0.2">
      <c r="A70" s="47" t="s">
        <v>44</v>
      </c>
      <c r="B70" s="45"/>
      <c r="C70" s="45"/>
      <c r="D70" s="45"/>
      <c r="E70" s="45"/>
      <c r="F70" s="44"/>
      <c r="G70" s="40"/>
    </row>
    <row r="71" spans="1:82" ht="8.25" hidden="1" customHeight="1" x14ac:dyDescent="0.2">
      <c r="A71" s="46"/>
      <c r="B71" s="45"/>
      <c r="C71" s="45"/>
      <c r="D71" s="45"/>
      <c r="E71" s="45"/>
      <c r="F71" s="44"/>
      <c r="G71" s="40"/>
    </row>
    <row r="72" spans="1:82" ht="10.5" hidden="1" customHeight="1" x14ac:dyDescent="0.2">
      <c r="A72" s="46"/>
      <c r="B72" s="45"/>
      <c r="C72" s="45"/>
      <c r="D72" s="45"/>
      <c r="E72" s="45"/>
      <c r="F72" s="44"/>
      <c r="G72" s="40"/>
    </row>
    <row r="73" spans="1:82" ht="13.5" hidden="1" thickBot="1" x14ac:dyDescent="0.25">
      <c r="A73" s="43" t="s">
        <v>0</v>
      </c>
      <c r="B73" s="42"/>
      <c r="C73" s="42"/>
      <c r="D73" s="42"/>
      <c r="E73" s="42"/>
      <c r="F73" s="41">
        <f>SUM(F64:F72)</f>
        <v>0</v>
      </c>
      <c r="G73" s="40"/>
    </row>
    <row r="74" spans="1:82" x14ac:dyDescent="0.2">
      <c r="A74" s="40"/>
      <c r="B74" s="40"/>
      <c r="C74" s="40"/>
      <c r="D74" s="40"/>
      <c r="E74" s="40"/>
      <c r="F74" s="40"/>
      <c r="G74" s="40"/>
    </row>
    <row r="75" spans="1:82" ht="10.5" customHeight="1" x14ac:dyDescent="0.2">
      <c r="A75" s="40"/>
      <c r="B75" s="40"/>
      <c r="C75" s="40"/>
      <c r="D75" s="40"/>
      <c r="E75" s="40"/>
      <c r="F75" s="40"/>
      <c r="G75" s="40"/>
    </row>
    <row r="76" spans="1:82" x14ac:dyDescent="0.2">
      <c r="A76" s="40"/>
      <c r="B76" s="40"/>
      <c r="C76" s="40"/>
      <c r="D76" s="40"/>
      <c r="E76" s="40"/>
      <c r="F76" s="40"/>
      <c r="G76" s="39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</row>
    <row r="78" spans="1:82" x14ac:dyDescent="0.2">
      <c r="A78" s="5" t="s">
        <v>253</v>
      </c>
      <c r="B78" s="61"/>
      <c r="C78" s="186"/>
      <c r="D78" s="186"/>
      <c r="E78" s="5" t="s">
        <v>250</v>
      </c>
      <c r="F78" s="5"/>
      <c r="G78" s="3"/>
      <c r="H78" s="2"/>
      <c r="I78" s="2"/>
      <c r="J78" s="2"/>
    </row>
    <row r="79" spans="1:82" x14ac:dyDescent="0.2">
      <c r="A79" s="58"/>
      <c r="B79" s="58"/>
      <c r="C79" s="58"/>
      <c r="D79" s="58"/>
      <c r="G79" s="3"/>
      <c r="H79" s="2"/>
      <c r="I79" s="2"/>
      <c r="J79" s="25"/>
    </row>
    <row r="80" spans="1:82" x14ac:dyDescent="0.2">
      <c r="A80" s="1" t="s">
        <v>254</v>
      </c>
      <c r="B80" s="58"/>
      <c r="C80" s="187"/>
      <c r="D80" s="187"/>
      <c r="E80" s="1" t="s">
        <v>251</v>
      </c>
      <c r="G80" s="3"/>
      <c r="H80" s="2"/>
      <c r="I80" s="2"/>
      <c r="J80" s="2"/>
    </row>
    <row r="81" spans="1:82" x14ac:dyDescent="0.2">
      <c r="A81" s="40"/>
      <c r="B81" s="40"/>
      <c r="C81" s="40"/>
      <c r="D81" s="40"/>
      <c r="E81" s="40"/>
      <c r="F81" s="40"/>
      <c r="G81" s="39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</row>
  </sheetData>
  <mergeCells count="5">
    <mergeCell ref="A63:F63"/>
    <mergeCell ref="E1:F1"/>
    <mergeCell ref="A2:F2"/>
    <mergeCell ref="A30:F30"/>
    <mergeCell ref="A43:F43"/>
  </mergeCells>
  <pageMargins left="0" right="0" top="0.28999999999999998" bottom="0.74803149606299213" header="0.31496062992125984" footer="0.31496062992125984"/>
  <pageSetup paperSize="9" scale="85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2"/>
  <sheetViews>
    <sheetView topLeftCell="A25" workbookViewId="0">
      <selection activeCell="B57" sqref="B57"/>
    </sheetView>
  </sheetViews>
  <sheetFormatPr defaultRowHeight="12.75" x14ac:dyDescent="0.2"/>
  <cols>
    <col min="1" max="1" width="23.42578125" style="57" customWidth="1"/>
    <col min="2" max="2" width="16.85546875" style="57" customWidth="1"/>
    <col min="3" max="4" width="12.85546875" style="57" customWidth="1"/>
    <col min="5" max="5" width="13" style="57" customWidth="1"/>
    <col min="6" max="6" width="14.42578125" style="57" customWidth="1"/>
    <col min="7" max="16384" width="9.140625" style="57"/>
  </cols>
  <sheetData>
    <row r="1" spans="1:6" x14ac:dyDescent="0.2">
      <c r="E1" s="406" t="s">
        <v>80</v>
      </c>
      <c r="F1" s="406"/>
    </row>
    <row r="2" spans="1:6" ht="18.75" x14ac:dyDescent="0.3">
      <c r="A2" s="407" t="s">
        <v>79</v>
      </c>
      <c r="B2" s="407"/>
      <c r="C2" s="407"/>
      <c r="D2" s="407"/>
      <c r="E2" s="407"/>
      <c r="F2" s="407"/>
    </row>
    <row r="3" spans="1:6" s="73" customFormat="1" x14ac:dyDescent="0.2">
      <c r="A3" s="72"/>
      <c r="B3" s="72"/>
      <c r="C3" s="72"/>
      <c r="D3" s="72"/>
      <c r="E3" s="72"/>
      <c r="F3" s="72"/>
    </row>
    <row r="4" spans="1:6" ht="13.5" thickBot="1" x14ac:dyDescent="0.25">
      <c r="A4" s="72"/>
      <c r="B4" s="72"/>
      <c r="C4" s="72"/>
      <c r="D4" s="72"/>
      <c r="E4" s="72"/>
      <c r="F4" s="72"/>
    </row>
    <row r="5" spans="1:6" s="69" customFormat="1" ht="25.5" x14ac:dyDescent="0.2">
      <c r="A5" s="192"/>
      <c r="B5" s="193" t="s">
        <v>52</v>
      </c>
      <c r="C5" s="193" t="s">
        <v>51</v>
      </c>
      <c r="D5" s="193" t="s">
        <v>4</v>
      </c>
      <c r="E5" s="189" t="s">
        <v>3</v>
      </c>
      <c r="F5" s="194" t="s">
        <v>50</v>
      </c>
    </row>
    <row r="6" spans="1:6" x14ac:dyDescent="0.2">
      <c r="A6" s="67" t="s">
        <v>78</v>
      </c>
      <c r="B6" s="65"/>
      <c r="C6" s="65">
        <v>4</v>
      </c>
      <c r="D6" s="65">
        <v>1</v>
      </c>
      <c r="E6" s="65">
        <v>1</v>
      </c>
      <c r="F6" s="64">
        <f>ROUND(B6*C6*D6*E6,2)</f>
        <v>0</v>
      </c>
    </row>
    <row r="7" spans="1:6" x14ac:dyDescent="0.2">
      <c r="A7" s="67" t="s">
        <v>77</v>
      </c>
      <c r="B7" s="65"/>
      <c r="C7" s="65"/>
      <c r="D7" s="65"/>
      <c r="E7" s="65"/>
      <c r="F7" s="64"/>
    </row>
    <row r="8" spans="1:6" hidden="1" x14ac:dyDescent="0.2">
      <c r="A8" s="12" t="s">
        <v>61</v>
      </c>
      <c r="B8" s="65"/>
      <c r="C8" s="65">
        <v>1</v>
      </c>
      <c r="D8" s="65">
        <v>1</v>
      </c>
      <c r="E8" s="65">
        <v>1.0649999999999999</v>
      </c>
      <c r="F8" s="64">
        <f>ROUND(B8*C8*D8*E8,2)</f>
        <v>0</v>
      </c>
    </row>
    <row r="9" spans="1:6" ht="25.5" hidden="1" x14ac:dyDescent="0.2">
      <c r="A9" s="12" t="s">
        <v>76</v>
      </c>
      <c r="B9" s="65"/>
      <c r="C9" s="65"/>
      <c r="D9" s="65">
        <v>12</v>
      </c>
      <c r="E9" s="65">
        <v>1</v>
      </c>
      <c r="F9" s="64">
        <f>ROUND(B9*C9*D9*E9,2)</f>
        <v>0</v>
      </c>
    </row>
    <row r="10" spans="1:6" hidden="1" x14ac:dyDescent="0.2">
      <c r="A10" s="71" t="s">
        <v>75</v>
      </c>
      <c r="B10" s="65"/>
      <c r="C10" s="65"/>
      <c r="D10" s="65"/>
      <c r="E10" s="65"/>
      <c r="F10" s="64">
        <f>SUM(F6:F9)</f>
        <v>0</v>
      </c>
    </row>
    <row r="11" spans="1:6" hidden="1" x14ac:dyDescent="0.2">
      <c r="A11" s="71" t="s">
        <v>59</v>
      </c>
      <c r="B11" s="65"/>
      <c r="C11" s="65">
        <v>1</v>
      </c>
      <c r="D11" s="65">
        <v>12</v>
      </c>
      <c r="E11" s="65">
        <v>1.0649999999999999</v>
      </c>
      <c r="F11" s="64">
        <f>ROUND(B11*C11*D11*E11,2)</f>
        <v>0</v>
      </c>
    </row>
    <row r="12" spans="1:6" ht="38.25" hidden="1" x14ac:dyDescent="0.2">
      <c r="A12" s="71" t="s">
        <v>57</v>
      </c>
      <c r="B12" s="65"/>
      <c r="C12" s="65">
        <v>1</v>
      </c>
      <c r="D12" s="65">
        <v>1</v>
      </c>
      <c r="E12" s="65">
        <v>1</v>
      </c>
      <c r="F12" s="64">
        <f>ROUND(B12*C12*D12*E12,2)</f>
        <v>0</v>
      </c>
    </row>
    <row r="13" spans="1:6" hidden="1" x14ac:dyDescent="0.2">
      <c r="A13" s="71"/>
      <c r="B13" s="65"/>
      <c r="C13" s="65"/>
      <c r="D13" s="65"/>
      <c r="E13" s="65"/>
      <c r="F13" s="64"/>
    </row>
    <row r="14" spans="1:6" hidden="1" x14ac:dyDescent="0.2">
      <c r="A14" s="71"/>
      <c r="B14" s="65"/>
      <c r="C14" s="65"/>
      <c r="D14" s="65"/>
      <c r="E14" s="65"/>
      <c r="F14" s="64"/>
    </row>
    <row r="15" spans="1:6" hidden="1" x14ac:dyDescent="0.2">
      <c r="A15" s="71"/>
      <c r="B15" s="65"/>
      <c r="C15" s="65"/>
      <c r="D15" s="65"/>
      <c r="E15" s="65"/>
      <c r="F15" s="64"/>
    </row>
    <row r="16" spans="1:6" hidden="1" x14ac:dyDescent="0.2">
      <c r="A16" s="71"/>
      <c r="B16" s="65"/>
      <c r="C16" s="65"/>
      <c r="D16" s="65"/>
      <c r="E16" s="65"/>
      <c r="F16" s="64"/>
    </row>
    <row r="17" spans="1:6" hidden="1" x14ac:dyDescent="0.2">
      <c r="A17" s="71"/>
      <c r="B17" s="65"/>
      <c r="C17" s="65"/>
      <c r="D17" s="65"/>
      <c r="E17" s="65"/>
      <c r="F17" s="64"/>
    </row>
    <row r="18" spans="1:6" hidden="1" x14ac:dyDescent="0.2">
      <c r="A18" s="71"/>
      <c r="B18" s="65"/>
      <c r="C18" s="65"/>
      <c r="D18" s="65"/>
      <c r="E18" s="65"/>
      <c r="F18" s="64"/>
    </row>
    <row r="19" spans="1:6" hidden="1" x14ac:dyDescent="0.2">
      <c r="A19" s="71"/>
      <c r="B19" s="65"/>
      <c r="C19" s="65"/>
      <c r="D19" s="65"/>
      <c r="E19" s="65"/>
      <c r="F19" s="64"/>
    </row>
    <row r="20" spans="1:6" hidden="1" x14ac:dyDescent="0.2">
      <c r="A20" s="71"/>
      <c r="B20" s="65"/>
      <c r="C20" s="65"/>
      <c r="D20" s="65"/>
      <c r="E20" s="65"/>
      <c r="F20" s="64"/>
    </row>
    <row r="21" spans="1:6" hidden="1" x14ac:dyDescent="0.2">
      <c r="A21" s="71"/>
      <c r="B21" s="65"/>
      <c r="C21" s="65"/>
      <c r="D21" s="65"/>
      <c r="E21" s="65"/>
      <c r="F21" s="64"/>
    </row>
    <row r="22" spans="1:6" ht="13.5" thickBot="1" x14ac:dyDescent="0.25">
      <c r="A22" s="70"/>
      <c r="B22" s="63"/>
      <c r="C22" s="63"/>
      <c r="D22" s="63"/>
      <c r="E22" s="63"/>
      <c r="F22" s="62"/>
    </row>
    <row r="23" spans="1:6" ht="32.25" customHeight="1" x14ac:dyDescent="0.3">
      <c r="A23" s="407" t="s">
        <v>74</v>
      </c>
      <c r="B23" s="336"/>
      <c r="C23" s="336"/>
      <c r="D23" s="336"/>
      <c r="E23" s="336"/>
      <c r="F23" s="336"/>
    </row>
    <row r="24" spans="1:6" ht="13.5" thickBot="1" x14ac:dyDescent="0.25">
      <c r="A24" s="69"/>
    </row>
    <row r="25" spans="1:6" ht="25.5" x14ac:dyDescent="0.2">
      <c r="A25" s="66"/>
      <c r="B25" s="193" t="s">
        <v>52</v>
      </c>
      <c r="C25" s="193" t="s">
        <v>51</v>
      </c>
      <c r="D25" s="193" t="s">
        <v>4</v>
      </c>
      <c r="E25" s="189" t="s">
        <v>3</v>
      </c>
      <c r="F25" s="194" t="s">
        <v>50</v>
      </c>
    </row>
    <row r="26" spans="1:6" x14ac:dyDescent="0.2">
      <c r="A26" s="67" t="s">
        <v>73</v>
      </c>
      <c r="B26" s="196"/>
      <c r="C26" s="65"/>
      <c r="D26" s="65">
        <v>1</v>
      </c>
      <c r="E26" s="65">
        <v>1</v>
      </c>
      <c r="F26" s="64">
        <f>ROUND(B26*C26*D26*E26,2)</f>
        <v>0</v>
      </c>
    </row>
    <row r="27" spans="1:6" x14ac:dyDescent="0.2">
      <c r="A27" s="67" t="s">
        <v>72</v>
      </c>
      <c r="B27" s="65"/>
      <c r="C27" s="65">
        <v>1</v>
      </c>
      <c r="D27" s="65">
        <v>1</v>
      </c>
      <c r="E27" s="65">
        <v>1</v>
      </c>
      <c r="F27" s="64">
        <f>ROUND(B27*C27*D27*E27,2)</f>
        <v>0</v>
      </c>
    </row>
    <row r="28" spans="1:6" x14ac:dyDescent="0.2">
      <c r="A28" s="67" t="s">
        <v>71</v>
      </c>
      <c r="B28" s="65"/>
      <c r="C28" s="65"/>
      <c r="D28" s="65"/>
      <c r="E28" s="65"/>
      <c r="F28" s="64">
        <f>ROUND(B28*C28*D28*E28,2)</f>
        <v>0</v>
      </c>
    </row>
    <row r="29" spans="1:6" ht="13.5" thickBot="1" x14ac:dyDescent="0.25">
      <c r="A29" s="10" t="s">
        <v>0</v>
      </c>
      <c r="B29" s="63"/>
      <c r="C29" s="63"/>
      <c r="D29" s="63"/>
      <c r="E29" s="63"/>
      <c r="F29" s="62">
        <f>F26+F27+F28</f>
        <v>0</v>
      </c>
    </row>
    <row r="30" spans="1:6" x14ac:dyDescent="0.2">
      <c r="A30" s="69"/>
    </row>
    <row r="31" spans="1:6" x14ac:dyDescent="0.2">
      <c r="A31" s="69"/>
    </row>
    <row r="32" spans="1:6" ht="37.5" customHeight="1" x14ac:dyDescent="0.3">
      <c r="A32" s="408" t="s">
        <v>70</v>
      </c>
      <c r="B32" s="409"/>
      <c r="C32" s="409"/>
      <c r="D32" s="409"/>
      <c r="E32" s="409"/>
      <c r="F32" s="410"/>
    </row>
    <row r="33" spans="1:6" x14ac:dyDescent="0.2">
      <c r="A33" s="68"/>
    </row>
    <row r="34" spans="1:6" ht="13.5" thickBot="1" x14ac:dyDescent="0.25">
      <c r="A34" s="68"/>
    </row>
    <row r="35" spans="1:6" ht="51" x14ac:dyDescent="0.2">
      <c r="A35" s="195"/>
      <c r="B35" s="193" t="s">
        <v>69</v>
      </c>
      <c r="C35" s="193" t="s">
        <v>68</v>
      </c>
      <c r="D35" s="193"/>
      <c r="E35" s="193"/>
      <c r="F35" s="194" t="s">
        <v>67</v>
      </c>
    </row>
    <row r="36" spans="1:6" x14ac:dyDescent="0.2">
      <c r="A36" s="67" t="s">
        <v>66</v>
      </c>
      <c r="B36" s="65"/>
      <c r="C36" s="65">
        <v>1</v>
      </c>
      <c r="D36" s="65"/>
      <c r="E36" s="65"/>
      <c r="F36" s="64">
        <f>ROUND(B36*C36,2)</f>
        <v>0</v>
      </c>
    </row>
    <row r="37" spans="1:6" ht="13.5" thickBot="1" x14ac:dyDescent="0.25">
      <c r="A37" s="20"/>
      <c r="B37" s="63"/>
      <c r="C37" s="63"/>
      <c r="D37" s="63"/>
      <c r="E37" s="63"/>
      <c r="F37" s="62">
        <f>ROUND(B37*C37*D37*E37,2)</f>
        <v>0</v>
      </c>
    </row>
    <row r="40" spans="1:6" ht="18.75" x14ac:dyDescent="0.3">
      <c r="A40" s="404" t="s">
        <v>65</v>
      </c>
      <c r="B40" s="405"/>
      <c r="C40" s="405"/>
      <c r="D40" s="405"/>
      <c r="E40" s="405"/>
      <c r="F40" s="405"/>
    </row>
    <row r="41" spans="1:6" ht="13.5" thickBot="1" x14ac:dyDescent="0.25"/>
    <row r="42" spans="1:6" ht="25.5" x14ac:dyDescent="0.2">
      <c r="A42" s="192"/>
      <c r="B42" s="193" t="s">
        <v>52</v>
      </c>
      <c r="C42" s="193" t="s">
        <v>51</v>
      </c>
      <c r="D42" s="193" t="s">
        <v>4</v>
      </c>
      <c r="E42" s="189" t="s">
        <v>3</v>
      </c>
      <c r="F42" s="194" t="s">
        <v>50</v>
      </c>
    </row>
    <row r="43" spans="1:6" x14ac:dyDescent="0.2">
      <c r="A43" s="12"/>
      <c r="B43" s="65"/>
      <c r="C43" s="65"/>
      <c r="D43" s="65"/>
      <c r="E43" s="65"/>
      <c r="F43" s="64">
        <f>ROUND(B43*C43*D43*E43,2)</f>
        <v>0</v>
      </c>
    </row>
    <row r="44" spans="1:6" x14ac:dyDescent="0.2">
      <c r="A44" s="12"/>
      <c r="B44" s="65"/>
      <c r="C44" s="65"/>
      <c r="D44" s="65"/>
      <c r="E44" s="65"/>
      <c r="F44" s="64">
        <f>ROUND(B44*C44*D44*E44,2)</f>
        <v>0</v>
      </c>
    </row>
    <row r="45" spans="1:6" ht="13.5" thickBot="1" x14ac:dyDescent="0.25">
      <c r="A45" s="10"/>
      <c r="B45" s="63"/>
      <c r="C45" s="63"/>
      <c r="D45" s="63"/>
      <c r="E45" s="63"/>
      <c r="F45" s="62">
        <f>ROUND(B45*C45*D45*E45,2)</f>
        <v>0</v>
      </c>
    </row>
    <row r="49" spans="1:82" s="1" customFormat="1" x14ac:dyDescent="0.2">
      <c r="A49" s="5" t="s">
        <v>226</v>
      </c>
      <c r="B49" s="61"/>
      <c r="C49" s="186"/>
      <c r="D49" s="186"/>
      <c r="E49" s="6"/>
      <c r="F49" s="5"/>
      <c r="G49" s="3"/>
      <c r="H49" s="2"/>
      <c r="I49" s="2"/>
      <c r="J49" s="2"/>
    </row>
    <row r="50" spans="1:82" s="1" customFormat="1" x14ac:dyDescent="0.2">
      <c r="A50" s="58"/>
      <c r="B50" s="58"/>
      <c r="C50" s="58"/>
      <c r="D50" s="58"/>
      <c r="E50" s="4"/>
      <c r="G50" s="3"/>
      <c r="H50" s="2"/>
      <c r="I50" s="2"/>
      <c r="J50" s="25"/>
    </row>
    <row r="51" spans="1:82" s="1" customFormat="1" x14ac:dyDescent="0.2">
      <c r="A51" s="1" t="s">
        <v>227</v>
      </c>
      <c r="B51" s="58"/>
      <c r="C51" s="187"/>
      <c r="D51" s="187"/>
      <c r="E51" s="4"/>
      <c r="G51" s="3"/>
      <c r="H51" s="2"/>
      <c r="I51" s="2"/>
      <c r="J51" s="2"/>
    </row>
    <row r="52" spans="1:82" s="58" customFormat="1" x14ac:dyDescent="0.2"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</row>
  </sheetData>
  <mergeCells count="5">
    <mergeCell ref="A40:F40"/>
    <mergeCell ref="E1:F1"/>
    <mergeCell ref="A2:F2"/>
    <mergeCell ref="A23:F23"/>
    <mergeCell ref="A32:F3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0"/>
  <sheetViews>
    <sheetView workbookViewId="0">
      <selection activeCell="J21" sqref="J21"/>
    </sheetView>
  </sheetViews>
  <sheetFormatPr defaultRowHeight="12.75" x14ac:dyDescent="0.2"/>
  <cols>
    <col min="1" max="1" width="26.42578125" style="68" customWidth="1"/>
    <col min="2" max="2" width="9.42578125" style="68" customWidth="1"/>
    <col min="3" max="3" width="8.28515625" style="57" customWidth="1"/>
    <col min="4" max="4" width="13.5703125" style="57" customWidth="1"/>
    <col min="5" max="5" width="9.85546875" style="57" customWidth="1"/>
    <col min="6" max="6" width="13.7109375" style="57" customWidth="1"/>
    <col min="7" max="7" width="9.28515625" style="57" bestFit="1" customWidth="1"/>
    <col min="8" max="8" width="9.7109375" style="57" bestFit="1" customWidth="1"/>
    <col min="9" max="16384" width="9.140625" style="57"/>
  </cols>
  <sheetData>
    <row r="1" spans="1:8" x14ac:dyDescent="0.2">
      <c r="E1" s="406" t="s">
        <v>172</v>
      </c>
      <c r="F1" s="406"/>
      <c r="G1" s="245"/>
      <c r="H1" s="1"/>
    </row>
    <row r="2" spans="1:8" ht="15" customHeight="1" x14ac:dyDescent="0.25">
      <c r="A2" s="411" t="s">
        <v>93</v>
      </c>
      <c r="B2" s="411"/>
      <c r="C2" s="411"/>
      <c r="D2" s="411"/>
      <c r="E2" s="411"/>
      <c r="F2" s="411"/>
      <c r="G2" s="250"/>
      <c r="H2" s="1"/>
    </row>
    <row r="3" spans="1:8" x14ac:dyDescent="0.2">
      <c r="G3" s="1"/>
      <c r="H3" s="1"/>
    </row>
    <row r="4" spans="1:8" ht="13.5" thickBot="1" x14ac:dyDescent="0.25">
      <c r="G4" s="1"/>
      <c r="H4" s="1"/>
    </row>
    <row r="5" spans="1:8" s="69" customFormat="1" ht="114.75" x14ac:dyDescent="0.2">
      <c r="A5" s="195"/>
      <c r="B5" s="271" t="s">
        <v>92</v>
      </c>
      <c r="C5" s="193" t="s">
        <v>68</v>
      </c>
      <c r="D5" s="193" t="s">
        <v>91</v>
      </c>
      <c r="E5" s="193" t="s">
        <v>3</v>
      </c>
      <c r="F5" s="193" t="s">
        <v>90</v>
      </c>
      <c r="G5" s="189" t="s">
        <v>222</v>
      </c>
      <c r="H5" s="190" t="s">
        <v>90</v>
      </c>
    </row>
    <row r="6" spans="1:8" s="290" customFormat="1" x14ac:dyDescent="0.2">
      <c r="A6" s="284" t="s">
        <v>89</v>
      </c>
      <c r="B6" s="285" t="s">
        <v>81</v>
      </c>
      <c r="C6" s="286"/>
      <c r="D6" s="286"/>
      <c r="E6" s="286">
        <v>1</v>
      </c>
      <c r="F6" s="287">
        <f>ROUND(C6*D6*E6,2)</f>
        <v>0</v>
      </c>
      <c r="G6" s="288">
        <v>1</v>
      </c>
      <c r="H6" s="289">
        <f>ROUND(F6*G6,2)</f>
        <v>0</v>
      </c>
    </row>
    <row r="7" spans="1:8" s="290" customFormat="1" x14ac:dyDescent="0.2">
      <c r="A7" s="284" t="s">
        <v>89</v>
      </c>
      <c r="B7" s="285" t="s">
        <v>81</v>
      </c>
      <c r="C7" s="286">
        <v>1785</v>
      </c>
      <c r="D7" s="286">
        <v>23.71</v>
      </c>
      <c r="E7" s="286">
        <v>1</v>
      </c>
      <c r="F7" s="287">
        <f>ROUND(C7*D7*E7,2)</f>
        <v>42322.35</v>
      </c>
      <c r="G7" s="288">
        <v>1</v>
      </c>
      <c r="H7" s="289">
        <f t="shared" ref="H7:H22" si="0">ROUND(F7*G7,2)</f>
        <v>42322.35</v>
      </c>
    </row>
    <row r="8" spans="1:8" s="290" customFormat="1" x14ac:dyDescent="0.2">
      <c r="A8" s="284" t="s">
        <v>88</v>
      </c>
      <c r="B8" s="285" t="s">
        <v>81</v>
      </c>
      <c r="C8" s="286"/>
      <c r="D8" s="286"/>
      <c r="E8" s="286">
        <v>1</v>
      </c>
      <c r="F8" s="287">
        <f t="shared" ref="F8:F18" si="1">ROUND(C8*D8*E8,2)</f>
        <v>0</v>
      </c>
      <c r="G8" s="288">
        <v>1</v>
      </c>
      <c r="H8" s="289">
        <f t="shared" si="0"/>
        <v>0</v>
      </c>
    </row>
    <row r="9" spans="1:8" s="290" customFormat="1" x14ac:dyDescent="0.2">
      <c r="A9" s="284" t="s">
        <v>88</v>
      </c>
      <c r="B9" s="285" t="s">
        <v>81</v>
      </c>
      <c r="C9" s="286">
        <v>2750</v>
      </c>
      <c r="D9" s="286">
        <v>15.26</v>
      </c>
      <c r="E9" s="286">
        <v>1</v>
      </c>
      <c r="F9" s="287">
        <f t="shared" si="1"/>
        <v>41965</v>
      </c>
      <c r="G9" s="288">
        <v>1</v>
      </c>
      <c r="H9" s="289">
        <f t="shared" si="0"/>
        <v>41965</v>
      </c>
    </row>
    <row r="10" spans="1:8" s="290" customFormat="1" ht="12.75" customHeight="1" x14ac:dyDescent="0.2">
      <c r="A10" s="291" t="s">
        <v>87</v>
      </c>
      <c r="B10" s="292" t="s">
        <v>81</v>
      </c>
      <c r="C10" s="286">
        <v>420</v>
      </c>
      <c r="D10" s="286">
        <v>23.71</v>
      </c>
      <c r="E10" s="286">
        <v>1</v>
      </c>
      <c r="F10" s="287">
        <f t="shared" si="1"/>
        <v>9958.2000000000007</v>
      </c>
      <c r="G10" s="288">
        <v>1</v>
      </c>
      <c r="H10" s="289">
        <f t="shared" si="0"/>
        <v>9958.2000000000007</v>
      </c>
    </row>
    <row r="11" spans="1:8" s="290" customFormat="1" ht="12.75" customHeight="1" x14ac:dyDescent="0.2">
      <c r="A11" s="291" t="s">
        <v>87</v>
      </c>
      <c r="B11" s="292" t="s">
        <v>81</v>
      </c>
      <c r="C11" s="286"/>
      <c r="D11" s="286"/>
      <c r="E11" s="286">
        <v>1</v>
      </c>
      <c r="F11" s="287">
        <f t="shared" si="1"/>
        <v>0</v>
      </c>
      <c r="G11" s="288">
        <v>1</v>
      </c>
      <c r="H11" s="289">
        <f t="shared" si="0"/>
        <v>0</v>
      </c>
    </row>
    <row r="12" spans="1:8" s="290" customFormat="1" ht="12.75" customHeight="1" x14ac:dyDescent="0.2">
      <c r="A12" s="291" t="s">
        <v>87</v>
      </c>
      <c r="B12" s="292" t="s">
        <v>81</v>
      </c>
      <c r="C12" s="286"/>
      <c r="D12" s="286"/>
      <c r="E12" s="286">
        <v>1</v>
      </c>
      <c r="F12" s="287">
        <f t="shared" si="1"/>
        <v>0</v>
      </c>
      <c r="G12" s="288">
        <v>1</v>
      </c>
      <c r="H12" s="289">
        <f t="shared" si="0"/>
        <v>0</v>
      </c>
    </row>
    <row r="13" spans="1:8" s="290" customFormat="1" ht="12.75" customHeight="1" x14ac:dyDescent="0.2">
      <c r="A13" s="291" t="s">
        <v>87</v>
      </c>
      <c r="B13" s="292" t="s">
        <v>81</v>
      </c>
      <c r="C13" s="286"/>
      <c r="D13" s="286"/>
      <c r="E13" s="286">
        <v>1</v>
      </c>
      <c r="F13" s="287">
        <f t="shared" si="1"/>
        <v>0</v>
      </c>
      <c r="G13" s="288">
        <v>1</v>
      </c>
      <c r="H13" s="289">
        <f t="shared" si="0"/>
        <v>0</v>
      </c>
    </row>
    <row r="14" spans="1:8" s="290" customFormat="1" ht="12.75" customHeight="1" x14ac:dyDescent="0.2">
      <c r="A14" s="291" t="s">
        <v>87</v>
      </c>
      <c r="B14" s="292" t="s">
        <v>81</v>
      </c>
      <c r="C14" s="293"/>
      <c r="D14" s="286"/>
      <c r="E14" s="286">
        <v>1</v>
      </c>
      <c r="F14" s="287">
        <f t="shared" si="1"/>
        <v>0</v>
      </c>
      <c r="G14" s="288">
        <v>1</v>
      </c>
      <c r="H14" s="289">
        <f t="shared" si="0"/>
        <v>0</v>
      </c>
    </row>
    <row r="15" spans="1:8" s="290" customFormat="1" ht="12.75" customHeight="1" x14ac:dyDescent="0.2">
      <c r="A15" s="291" t="s">
        <v>87</v>
      </c>
      <c r="B15" s="292" t="s">
        <v>81</v>
      </c>
      <c r="C15" s="286"/>
      <c r="D15" s="286"/>
      <c r="E15" s="286">
        <v>1</v>
      </c>
      <c r="F15" s="287">
        <f>ROUND(C15*D15*E15,2)</f>
        <v>0</v>
      </c>
      <c r="G15" s="288">
        <v>1</v>
      </c>
      <c r="H15" s="289">
        <f t="shared" si="0"/>
        <v>0</v>
      </c>
    </row>
    <row r="16" spans="1:8" s="290" customFormat="1" ht="12.75" customHeight="1" x14ac:dyDescent="0.2">
      <c r="A16" s="291" t="s">
        <v>87</v>
      </c>
      <c r="B16" s="292" t="s">
        <v>81</v>
      </c>
      <c r="C16" s="286"/>
      <c r="D16" s="286"/>
      <c r="E16" s="286">
        <v>1</v>
      </c>
      <c r="F16" s="287">
        <f>ROUND(C16*D16*E16,2)</f>
        <v>0</v>
      </c>
      <c r="G16" s="288">
        <v>1</v>
      </c>
      <c r="H16" s="289">
        <f t="shared" si="0"/>
        <v>0</v>
      </c>
    </row>
    <row r="17" spans="1:81" s="290" customFormat="1" ht="12.75" customHeight="1" x14ac:dyDescent="0.2">
      <c r="A17" s="291" t="s">
        <v>87</v>
      </c>
      <c r="B17" s="292" t="s">
        <v>81</v>
      </c>
      <c r="C17" s="286"/>
      <c r="D17" s="286"/>
      <c r="E17" s="286">
        <v>1</v>
      </c>
      <c r="F17" s="287">
        <f>ROUND(C17*D17*E17,2)</f>
        <v>0</v>
      </c>
      <c r="G17" s="288">
        <v>1</v>
      </c>
      <c r="H17" s="289">
        <f t="shared" si="0"/>
        <v>0</v>
      </c>
    </row>
    <row r="18" spans="1:81" s="290" customFormat="1" ht="12.75" customHeight="1" x14ac:dyDescent="0.2">
      <c r="A18" s="291" t="s">
        <v>86</v>
      </c>
      <c r="B18" s="292" t="s">
        <v>85</v>
      </c>
      <c r="C18" s="286">
        <v>38.498341000000003</v>
      </c>
      <c r="D18" s="286">
        <v>1581.82</v>
      </c>
      <c r="E18" s="286">
        <v>1</v>
      </c>
      <c r="F18" s="287">
        <f t="shared" si="1"/>
        <v>60897.45</v>
      </c>
      <c r="G18" s="288">
        <v>1</v>
      </c>
      <c r="H18" s="289">
        <f t="shared" si="0"/>
        <v>60897.45</v>
      </c>
    </row>
    <row r="19" spans="1:81" s="290" customFormat="1" x14ac:dyDescent="0.2">
      <c r="A19" s="291" t="s">
        <v>86</v>
      </c>
      <c r="B19" s="292" t="s">
        <v>85</v>
      </c>
      <c r="C19" s="316">
        <v>424.38583299999999</v>
      </c>
      <c r="D19" s="286">
        <v>1581.82</v>
      </c>
      <c r="E19" s="286">
        <v>1</v>
      </c>
      <c r="F19" s="287">
        <f>ROUND(C19*D19*E19,2)</f>
        <v>671302</v>
      </c>
      <c r="G19" s="288">
        <v>0.5</v>
      </c>
      <c r="H19" s="289">
        <f t="shared" si="0"/>
        <v>335651</v>
      </c>
    </row>
    <row r="20" spans="1:81" s="290" customFormat="1" ht="12.75" customHeight="1" x14ac:dyDescent="0.2">
      <c r="A20" s="291" t="s">
        <v>86</v>
      </c>
      <c r="B20" s="292" t="s">
        <v>85</v>
      </c>
      <c r="C20" s="293"/>
      <c r="D20" s="286"/>
      <c r="E20" s="286">
        <v>1</v>
      </c>
      <c r="F20" s="287">
        <f t="shared" ref="F20" si="2">ROUND(C20*D20*E20,2)</f>
        <v>0</v>
      </c>
      <c r="G20" s="288">
        <v>0.5</v>
      </c>
      <c r="H20" s="289">
        <f t="shared" si="0"/>
        <v>0</v>
      </c>
    </row>
    <row r="21" spans="1:81" s="290" customFormat="1" x14ac:dyDescent="0.2">
      <c r="A21" s="291" t="s">
        <v>86</v>
      </c>
      <c r="B21" s="292" t="s">
        <v>85</v>
      </c>
      <c r="C21" s="293"/>
      <c r="D21" s="286"/>
      <c r="E21" s="286">
        <v>1</v>
      </c>
      <c r="F21" s="287">
        <f>ROUND(C21*D21*E21,2)</f>
        <v>0</v>
      </c>
      <c r="G21" s="288">
        <v>0.5</v>
      </c>
      <c r="H21" s="289">
        <f t="shared" si="0"/>
        <v>0</v>
      </c>
    </row>
    <row r="22" spans="1:81" s="290" customFormat="1" x14ac:dyDescent="0.2">
      <c r="A22" s="291" t="s">
        <v>84</v>
      </c>
      <c r="B22" s="292" t="s">
        <v>83</v>
      </c>
      <c r="C22" s="286">
        <v>1</v>
      </c>
      <c r="D22" s="293">
        <v>316470</v>
      </c>
      <c r="E22" s="286">
        <v>1</v>
      </c>
      <c r="F22" s="287">
        <f>ROUND(D22*E22,2)</f>
        <v>316470</v>
      </c>
      <c r="G22" s="288">
        <v>0.9</v>
      </c>
      <c r="H22" s="289">
        <f t="shared" si="0"/>
        <v>284823</v>
      </c>
    </row>
    <row r="23" spans="1:81" ht="13.5" thickBot="1" x14ac:dyDescent="0.25">
      <c r="A23" s="20" t="s">
        <v>166</v>
      </c>
      <c r="B23" s="264"/>
      <c r="C23" s="75"/>
      <c r="D23" s="272"/>
      <c r="E23" s="75">
        <v>1</v>
      </c>
      <c r="F23" s="273">
        <f>ROUND(D23*E23,2)</f>
        <v>0</v>
      </c>
      <c r="G23" s="265">
        <v>1</v>
      </c>
      <c r="H23" s="266">
        <f t="shared" ref="H23" si="3">ROUND(F23*G23,2)</f>
        <v>0</v>
      </c>
    </row>
    <row r="24" spans="1:81" ht="39" hidden="1" customHeight="1" thickBot="1" x14ac:dyDescent="0.25">
      <c r="A24" s="267" t="s">
        <v>82</v>
      </c>
      <c r="B24" s="268" t="s">
        <v>81</v>
      </c>
      <c r="C24" s="269"/>
      <c r="D24" s="269"/>
      <c r="E24" s="269"/>
      <c r="F24" s="270">
        <f>ROUND(C24*D24*E24,2)</f>
        <v>0</v>
      </c>
      <c r="G24" s="252"/>
      <c r="H24" s="1"/>
    </row>
    <row r="25" spans="1:81" x14ac:dyDescent="0.2">
      <c r="F25" s="164"/>
      <c r="G25" s="253"/>
      <c r="H25" s="1"/>
    </row>
    <row r="26" spans="1:81" x14ac:dyDescent="0.2">
      <c r="C26" s="74"/>
      <c r="G26" s="1"/>
      <c r="H26" s="1"/>
    </row>
    <row r="27" spans="1:81" s="1" customFormat="1" x14ac:dyDescent="0.2">
      <c r="A27" s="5" t="s">
        <v>253</v>
      </c>
      <c r="B27" s="61"/>
      <c r="C27" s="186"/>
      <c r="D27" s="186"/>
      <c r="E27" s="248"/>
      <c r="F27" s="5" t="s">
        <v>250</v>
      </c>
      <c r="G27" s="253"/>
      <c r="I27" s="2"/>
      <c r="J27" s="2"/>
    </row>
    <row r="28" spans="1:81" s="1" customFormat="1" x14ac:dyDescent="0.2">
      <c r="A28" s="58"/>
      <c r="B28" s="58"/>
      <c r="C28" s="58"/>
      <c r="D28" s="58"/>
      <c r="E28" s="4"/>
      <c r="I28" s="2"/>
      <c r="J28" s="25"/>
    </row>
    <row r="29" spans="1:81" s="1" customFormat="1" x14ac:dyDescent="0.2">
      <c r="A29" s="1" t="s">
        <v>254</v>
      </c>
      <c r="B29" s="58"/>
      <c r="C29" s="187"/>
      <c r="D29" s="187"/>
      <c r="E29" s="4"/>
      <c r="F29" s="1" t="s">
        <v>251</v>
      </c>
      <c r="G29" s="3"/>
      <c r="H29" s="3"/>
      <c r="I29" s="2"/>
      <c r="J29" s="2"/>
    </row>
    <row r="30" spans="1:81" s="58" customFormat="1" x14ac:dyDescent="0.2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</row>
  </sheetData>
  <mergeCells count="2">
    <mergeCell ref="A2:F2"/>
    <mergeCell ref="E1:F1"/>
  </mergeCells>
  <pageMargins left="0" right="0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SheetLayoutView="100" workbookViewId="0">
      <selection activeCell="L15" sqref="L15"/>
    </sheetView>
  </sheetViews>
  <sheetFormatPr defaultRowHeight="12.75" x14ac:dyDescent="0.2"/>
  <cols>
    <col min="1" max="1" width="16.140625" style="57" customWidth="1"/>
    <col min="2" max="2" width="14.140625" style="57" customWidth="1"/>
    <col min="3" max="3" width="10" style="57" customWidth="1"/>
    <col min="4" max="4" width="14.7109375" style="57" bestFit="1" customWidth="1"/>
    <col min="5" max="5" width="7.85546875" style="57" customWidth="1"/>
    <col min="6" max="6" width="10.85546875" style="57" customWidth="1"/>
    <col min="7" max="7" width="8" style="57" customWidth="1"/>
    <col min="8" max="8" width="9.28515625" style="57" customWidth="1"/>
    <col min="9" max="16384" width="9.140625" style="57"/>
  </cols>
  <sheetData>
    <row r="1" spans="1:10" ht="15" x14ac:dyDescent="0.25">
      <c r="D1" s="406" t="s">
        <v>98</v>
      </c>
      <c r="E1" s="412"/>
      <c r="F1" s="247"/>
    </row>
    <row r="2" spans="1:10" ht="18.75" x14ac:dyDescent="0.3">
      <c r="A2" s="404" t="s">
        <v>97</v>
      </c>
      <c r="B2" s="406"/>
      <c r="C2" s="406"/>
      <c r="D2" s="406"/>
    </row>
    <row r="3" spans="1:10" ht="18.75" x14ac:dyDescent="0.3">
      <c r="A3" s="246"/>
      <c r="B3" s="247"/>
      <c r="C3" s="247"/>
      <c r="D3" s="247"/>
    </row>
    <row r="4" spans="1:10" ht="19.5" thickBot="1" x14ac:dyDescent="0.35">
      <c r="A4" s="246"/>
      <c r="B4" s="247"/>
      <c r="C4" s="247"/>
      <c r="D4" s="247"/>
    </row>
    <row r="5" spans="1:10" s="76" customFormat="1" ht="42" customHeight="1" x14ac:dyDescent="0.2">
      <c r="A5" s="188" t="s">
        <v>170</v>
      </c>
      <c r="B5" s="189" t="s">
        <v>168</v>
      </c>
      <c r="C5" s="189" t="s">
        <v>169</v>
      </c>
      <c r="D5" s="190" t="s">
        <v>97</v>
      </c>
    </row>
    <row r="6" spans="1:10" ht="25.5" x14ac:dyDescent="0.2">
      <c r="A6" s="71" t="s">
        <v>96</v>
      </c>
      <c r="B6" s="315">
        <v>15523500</v>
      </c>
      <c r="C6" s="255">
        <v>2.1999999999999999E-2</v>
      </c>
      <c r="D6" s="256">
        <f>ROUND(B6*C6,0)</f>
        <v>341517</v>
      </c>
    </row>
    <row r="7" spans="1:10" ht="13.5" thickBot="1" x14ac:dyDescent="0.25">
      <c r="A7" s="228" t="s">
        <v>171</v>
      </c>
      <c r="B7" s="315">
        <v>27300677.280000001</v>
      </c>
      <c r="C7" s="283">
        <v>1.4999999999999999E-2</v>
      </c>
      <c r="D7" s="261">
        <f>ROUND(B7*C7,0)</f>
        <v>409510</v>
      </c>
    </row>
    <row r="8" spans="1:10" hidden="1" x14ac:dyDescent="0.2">
      <c r="A8" s="229" t="s">
        <v>205</v>
      </c>
      <c r="B8" s="257"/>
      <c r="C8" s="258"/>
      <c r="D8" s="256">
        <f>ROUND(B8*C8,0)</f>
        <v>0</v>
      </c>
    </row>
    <row r="9" spans="1:10" hidden="1" x14ac:dyDescent="0.2">
      <c r="A9" s="229" t="s">
        <v>204</v>
      </c>
      <c r="B9" s="257"/>
      <c r="C9" s="258"/>
      <c r="D9" s="256">
        <f>ROUND(B9*C9,0)</f>
        <v>0</v>
      </c>
    </row>
    <row r="10" spans="1:10" ht="13.5" hidden="1" thickBot="1" x14ac:dyDescent="0.25">
      <c r="A10" s="228" t="s">
        <v>167</v>
      </c>
      <c r="B10" s="259"/>
      <c r="C10" s="260">
        <v>42</v>
      </c>
      <c r="D10" s="261">
        <f>ROUND(B10*C10,0)</f>
        <v>0</v>
      </c>
    </row>
    <row r="11" spans="1:10" x14ac:dyDescent="0.2">
      <c r="D11" s="191">
        <f>D6+D7+D10</f>
        <v>751027</v>
      </c>
    </row>
    <row r="12" spans="1:10" ht="15.75" x14ac:dyDescent="0.25">
      <c r="A12" s="413" t="s">
        <v>93</v>
      </c>
      <c r="B12" s="413"/>
      <c r="C12" s="413"/>
      <c r="D12" s="413"/>
      <c r="E12" s="413"/>
      <c r="F12" s="413"/>
      <c r="G12" s="250"/>
      <c r="H12" s="1"/>
    </row>
    <row r="13" spans="1:10" s="1" customFormat="1" x14ac:dyDescent="0.2">
      <c r="A13" s="50"/>
      <c r="B13" s="50"/>
      <c r="I13" s="2"/>
      <c r="J13" s="2"/>
    </row>
    <row r="14" spans="1:10" s="1" customFormat="1" ht="13.5" thickBot="1" x14ac:dyDescent="0.25">
      <c r="A14" s="50"/>
      <c r="B14" s="50"/>
      <c r="I14" s="2"/>
      <c r="J14" s="25"/>
    </row>
    <row r="15" spans="1:10" s="1" customFormat="1" ht="127.5" x14ac:dyDescent="0.2">
      <c r="A15" s="205"/>
      <c r="B15" s="206" t="s">
        <v>92</v>
      </c>
      <c r="C15" s="189" t="s">
        <v>68</v>
      </c>
      <c r="D15" s="189" t="s">
        <v>91</v>
      </c>
      <c r="E15" s="189" t="s">
        <v>3</v>
      </c>
      <c r="F15" s="189" t="s">
        <v>223</v>
      </c>
      <c r="G15" s="189" t="s">
        <v>224</v>
      </c>
      <c r="H15" s="190" t="s">
        <v>90</v>
      </c>
      <c r="I15" s="2"/>
      <c r="J15" s="2"/>
    </row>
    <row r="16" spans="1:10" x14ac:dyDescent="0.2">
      <c r="A16" s="22" t="s">
        <v>86</v>
      </c>
      <c r="B16" s="254" t="s">
        <v>85</v>
      </c>
      <c r="C16" s="254">
        <v>424.38583299999999</v>
      </c>
      <c r="D16" s="254">
        <v>1581.82</v>
      </c>
      <c r="E16" s="254">
        <v>1</v>
      </c>
      <c r="F16" s="263">
        <f>ROUND(C16*D16*E16,2)</f>
        <v>671302</v>
      </c>
      <c r="G16" s="263">
        <v>0.5</v>
      </c>
      <c r="H16" s="251">
        <f>F16*G16</f>
        <v>335651</v>
      </c>
    </row>
    <row r="17" spans="1:8" x14ac:dyDescent="0.2">
      <c r="A17" s="22" t="s">
        <v>86</v>
      </c>
      <c r="B17" s="254" t="s">
        <v>85</v>
      </c>
      <c r="C17" s="254"/>
      <c r="D17" s="254"/>
      <c r="E17" s="254">
        <v>1</v>
      </c>
      <c r="F17" s="263">
        <f>ROUND(C17*D17*E17,2)</f>
        <v>0</v>
      </c>
      <c r="G17" s="263">
        <v>0.5</v>
      </c>
      <c r="H17" s="251">
        <f>F17*G17</f>
        <v>0</v>
      </c>
    </row>
    <row r="18" spans="1:8" x14ac:dyDescent="0.2">
      <c r="A18" s="22" t="s">
        <v>86</v>
      </c>
      <c r="B18" s="254" t="s">
        <v>85</v>
      </c>
      <c r="C18" s="254"/>
      <c r="D18" s="254"/>
      <c r="E18" s="254">
        <v>1</v>
      </c>
      <c r="F18" s="263">
        <f>ROUND(C18*D18*E18,2)</f>
        <v>0</v>
      </c>
      <c r="G18" s="263">
        <v>0.5</v>
      </c>
      <c r="H18" s="251">
        <f>F18*G18</f>
        <v>0</v>
      </c>
    </row>
    <row r="19" spans="1:8" x14ac:dyDescent="0.2">
      <c r="A19" s="22" t="s">
        <v>86</v>
      </c>
      <c r="B19" s="254" t="s">
        <v>85</v>
      </c>
      <c r="C19" s="254"/>
      <c r="D19" s="254"/>
      <c r="E19" s="254">
        <v>1</v>
      </c>
      <c r="F19" s="263">
        <f>ROUND(C19*D19*E19,2)</f>
        <v>0</v>
      </c>
      <c r="G19" s="263">
        <v>0.5</v>
      </c>
      <c r="H19" s="251">
        <f>F19*G19</f>
        <v>0</v>
      </c>
    </row>
    <row r="20" spans="1:8" ht="26.25" thickBot="1" x14ac:dyDescent="0.25">
      <c r="A20" s="10" t="s">
        <v>84</v>
      </c>
      <c r="B20" s="264" t="s">
        <v>83</v>
      </c>
      <c r="C20" s="264"/>
      <c r="D20" s="264">
        <v>316470</v>
      </c>
      <c r="E20" s="264">
        <v>1</v>
      </c>
      <c r="F20" s="265">
        <f>ROUND(D20*E20,2)</f>
        <v>316470</v>
      </c>
      <c r="G20" s="265">
        <v>0.1</v>
      </c>
      <c r="H20" s="266">
        <f>F20*G20</f>
        <v>31647</v>
      </c>
    </row>
    <row r="22" spans="1:8" x14ac:dyDescent="0.2">
      <c r="A22" s="5" t="s">
        <v>253</v>
      </c>
      <c r="B22" s="61"/>
      <c r="C22" s="186"/>
      <c r="D22" s="5" t="s">
        <v>250</v>
      </c>
      <c r="E22" s="5"/>
      <c r="F22" s="5"/>
      <c r="G22" s="3"/>
      <c r="H22" s="2"/>
    </row>
    <row r="23" spans="1:8" x14ac:dyDescent="0.2">
      <c r="A23" s="58"/>
      <c r="B23" s="58"/>
      <c r="C23" s="58"/>
      <c r="D23" s="1"/>
      <c r="E23" s="1"/>
      <c r="F23" s="1"/>
      <c r="G23" s="3"/>
      <c r="H23" s="2"/>
    </row>
    <row r="24" spans="1:8" x14ac:dyDescent="0.2">
      <c r="A24" s="1" t="s">
        <v>254</v>
      </c>
      <c r="B24" s="58"/>
      <c r="C24" s="187"/>
      <c r="D24" s="1" t="s">
        <v>251</v>
      </c>
      <c r="E24" s="1"/>
      <c r="F24" s="1"/>
      <c r="G24" s="3"/>
      <c r="H24" s="2"/>
    </row>
  </sheetData>
  <mergeCells count="3">
    <mergeCell ref="A2:D2"/>
    <mergeCell ref="D1:E1"/>
    <mergeCell ref="A12:F12"/>
  </mergeCells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D17" sqref="D17"/>
    </sheetView>
  </sheetViews>
  <sheetFormatPr defaultRowHeight="12.75" x14ac:dyDescent="0.2"/>
  <cols>
    <col min="1" max="2" width="7.5703125" style="57" customWidth="1"/>
    <col min="3" max="3" width="15.5703125" style="57" customWidth="1"/>
    <col min="4" max="4" width="18.140625" style="57" customWidth="1"/>
    <col min="5" max="5" width="15.140625" style="57" customWidth="1"/>
    <col min="6" max="6" width="8" style="57" customWidth="1"/>
    <col min="7" max="7" width="13.42578125" style="57" bestFit="1" customWidth="1"/>
    <col min="8" max="8" width="15.85546875" style="57" customWidth="1"/>
    <col min="9" max="9" width="13.42578125" style="57" customWidth="1"/>
    <col min="10" max="10" width="10.7109375" style="57" bestFit="1" customWidth="1"/>
    <col min="11" max="13" width="9.140625" style="57"/>
    <col min="14" max="14" width="10.140625" style="57" bestFit="1" customWidth="1"/>
    <col min="15" max="16384" width="9.140625" style="57"/>
  </cols>
  <sheetData>
    <row r="1" spans="1:20" ht="15.75" x14ac:dyDescent="0.2">
      <c r="F1" s="60"/>
      <c r="G1" s="60"/>
      <c r="H1" s="60"/>
      <c r="I1" s="59" t="s">
        <v>147</v>
      </c>
      <c r="J1" s="59"/>
      <c r="K1" s="59"/>
      <c r="L1" s="59"/>
      <c r="M1" s="59"/>
      <c r="N1" s="150"/>
      <c r="O1" s="59"/>
      <c r="P1" s="59"/>
      <c r="Q1" s="150"/>
      <c r="R1" s="150"/>
    </row>
    <row r="2" spans="1:20" ht="18" x14ac:dyDescent="0.25">
      <c r="A2" s="416" t="s">
        <v>142</v>
      </c>
      <c r="B2" s="416"/>
      <c r="C2" s="416"/>
      <c r="D2" s="416"/>
      <c r="E2" s="416"/>
      <c r="F2" s="60"/>
      <c r="G2" s="60"/>
      <c r="H2" s="60"/>
      <c r="I2" s="414" t="s">
        <v>144</v>
      </c>
      <c r="J2" s="414"/>
      <c r="K2" s="414" t="s">
        <v>143</v>
      </c>
      <c r="L2" s="414"/>
      <c r="M2" s="414" t="s">
        <v>145</v>
      </c>
      <c r="N2" s="414"/>
      <c r="O2" s="59"/>
      <c r="R2" s="59" t="s">
        <v>219</v>
      </c>
      <c r="S2" s="59"/>
    </row>
    <row r="3" spans="1:20" x14ac:dyDescent="0.2">
      <c r="F3" s="60"/>
      <c r="G3" s="60"/>
      <c r="H3" s="60"/>
      <c r="I3" s="59" t="s">
        <v>220</v>
      </c>
      <c r="J3" s="57" t="s">
        <v>218</v>
      </c>
      <c r="K3" s="59" t="s">
        <v>220</v>
      </c>
      <c r="L3" s="57" t="s">
        <v>218</v>
      </c>
      <c r="M3" s="59" t="s">
        <v>220</v>
      </c>
      <c r="N3" s="57" t="s">
        <v>218</v>
      </c>
      <c r="O3" s="59" t="s">
        <v>146</v>
      </c>
      <c r="P3" s="59"/>
      <c r="R3" s="162" t="s">
        <v>148</v>
      </c>
      <c r="S3" s="162" t="s">
        <v>143</v>
      </c>
      <c r="T3" s="162" t="s">
        <v>145</v>
      </c>
    </row>
    <row r="4" spans="1:20" ht="18.75" x14ac:dyDescent="0.3">
      <c r="E4" s="300">
        <f>I4+J4+K4+L4+M4+N4+O4</f>
        <v>698</v>
      </c>
      <c r="F4" s="60"/>
      <c r="G4" s="60" t="s">
        <v>139</v>
      </c>
      <c r="H4" s="60"/>
      <c r="I4" s="148">
        <v>342</v>
      </c>
      <c r="J4" s="148">
        <v>2</v>
      </c>
      <c r="K4" s="148">
        <v>306</v>
      </c>
      <c r="L4" s="148"/>
      <c r="M4" s="148">
        <v>48</v>
      </c>
      <c r="N4" s="148">
        <v>0</v>
      </c>
      <c r="O4" s="148">
        <v>0</v>
      </c>
      <c r="P4" s="161"/>
      <c r="Q4" s="59"/>
      <c r="R4" s="165">
        <v>0</v>
      </c>
      <c r="S4" s="165">
        <v>0</v>
      </c>
      <c r="T4" s="165">
        <v>0</v>
      </c>
    </row>
    <row r="5" spans="1:20" x14ac:dyDescent="0.2">
      <c r="A5" s="65" t="s">
        <v>22</v>
      </c>
      <c r="B5" s="65" t="s">
        <v>141</v>
      </c>
      <c r="C5" s="65" t="s">
        <v>140</v>
      </c>
      <c r="D5" s="65" t="s">
        <v>2</v>
      </c>
      <c r="E5" s="65" t="s">
        <v>139</v>
      </c>
      <c r="F5" s="60"/>
      <c r="G5" s="60"/>
      <c r="H5" s="60"/>
      <c r="I5" s="242"/>
      <c r="J5" s="242"/>
      <c r="K5" s="242"/>
      <c r="L5" s="242"/>
      <c r="M5" s="242"/>
      <c r="N5" s="242"/>
      <c r="O5" s="242"/>
      <c r="P5" s="59"/>
      <c r="Q5" s="59"/>
      <c r="R5" s="162"/>
      <c r="S5" s="162"/>
      <c r="T5" s="162"/>
    </row>
    <row r="6" spans="1:20" s="153" customFormat="1" x14ac:dyDescent="0.2">
      <c r="A6" s="159"/>
      <c r="B6" s="159"/>
      <c r="C6" s="160">
        <f>SUM(C16:C31)</f>
        <v>21783162</v>
      </c>
      <c r="D6" s="160">
        <f t="shared" ref="D6:E6" si="0">SUM(D16:D31)</f>
        <v>21783162</v>
      </c>
      <c r="E6" s="160">
        <f t="shared" si="0"/>
        <v>0</v>
      </c>
      <c r="F6" s="155"/>
      <c r="G6" s="155"/>
      <c r="H6" s="155"/>
      <c r="I6" s="165">
        <v>0</v>
      </c>
      <c r="J6" s="165"/>
      <c r="K6" s="165">
        <v>1</v>
      </c>
      <c r="L6" s="165">
        <v>0</v>
      </c>
      <c r="M6" s="165">
        <v>0</v>
      </c>
      <c r="N6" s="165">
        <v>0</v>
      </c>
      <c r="O6" s="165">
        <v>0</v>
      </c>
      <c r="P6" s="59" t="s">
        <v>154</v>
      </c>
      <c r="Q6" s="59"/>
      <c r="R6" s="162"/>
      <c r="S6" s="162"/>
      <c r="T6" s="162"/>
    </row>
    <row r="7" spans="1:20" s="153" customFormat="1" x14ac:dyDescent="0.2">
      <c r="A7" s="159">
        <v>211</v>
      </c>
      <c r="B7" s="158" t="s">
        <v>138</v>
      </c>
      <c r="C7" s="157">
        <v>14602467</v>
      </c>
      <c r="D7" s="299">
        <f>свод!F21+свод!F34</f>
        <v>14602467</v>
      </c>
      <c r="E7" s="299">
        <f t="shared" ref="E7:E31" si="1">C7-D7</f>
        <v>0</v>
      </c>
      <c r="F7" s="60"/>
      <c r="G7" s="60"/>
      <c r="H7" s="60"/>
      <c r="I7" s="162">
        <v>2771.1</v>
      </c>
      <c r="J7" s="162"/>
      <c r="K7" s="162">
        <v>3576.45</v>
      </c>
      <c r="L7" s="162"/>
      <c r="M7" s="162">
        <v>3755.42</v>
      </c>
      <c r="N7" s="162"/>
      <c r="O7" s="162"/>
      <c r="P7" s="59" t="s">
        <v>153</v>
      </c>
      <c r="Q7" s="59"/>
      <c r="R7" s="162"/>
      <c r="S7" s="162"/>
      <c r="T7" s="162"/>
    </row>
    <row r="8" spans="1:20" s="153" customFormat="1" x14ac:dyDescent="0.2">
      <c r="A8" s="159">
        <v>213</v>
      </c>
      <c r="B8" s="158" t="s">
        <v>138</v>
      </c>
      <c r="C8" s="157">
        <v>4408895</v>
      </c>
      <c r="D8" s="299">
        <f>свод!F36+свод!F22-D15</f>
        <v>4408895</v>
      </c>
      <c r="E8" s="299">
        <f t="shared" si="1"/>
        <v>0</v>
      </c>
      <c r="F8" s="154"/>
      <c r="G8" s="154"/>
      <c r="H8" s="154">
        <f>I8*$I$4+J8*$J$4+K8*$K$4+L8*$L$4+M8*$M$4+N8*$N$4+O8*$O$4</f>
        <v>14128847.399999999</v>
      </c>
      <c r="I8" s="122">
        <v>16238.4</v>
      </c>
      <c r="J8" s="122">
        <v>37320</v>
      </c>
      <c r="K8" s="122">
        <v>23534.9</v>
      </c>
      <c r="L8" s="122">
        <v>61758.400000000001</v>
      </c>
      <c r="M8" s="122">
        <v>27062.400000000001</v>
      </c>
      <c r="N8" s="122">
        <v>97628</v>
      </c>
      <c r="O8" s="122">
        <f>IF(O4=0,0,ROUND((R8*R4+S8*S4+T8*T4)/O4,0))</f>
        <v>0</v>
      </c>
      <c r="P8" s="59" t="s">
        <v>151</v>
      </c>
      <c r="Q8" s="59"/>
      <c r="R8" s="162">
        <v>37320</v>
      </c>
      <c r="S8" s="162">
        <v>61758.400000000001</v>
      </c>
      <c r="T8" s="162">
        <v>97628</v>
      </c>
    </row>
    <row r="9" spans="1:20" s="153" customFormat="1" x14ac:dyDescent="0.2">
      <c r="A9" s="159">
        <v>221</v>
      </c>
      <c r="B9" s="158" t="s">
        <v>138</v>
      </c>
      <c r="C9" s="157">
        <v>68917</v>
      </c>
      <c r="D9" s="156">
        <f>'пр.1+2 '!D44:'пр.1+2 '!C44</f>
        <v>68917</v>
      </c>
      <c r="E9" s="151">
        <f t="shared" si="1"/>
        <v>0</v>
      </c>
      <c r="F9" s="154"/>
      <c r="G9" s="154"/>
      <c r="H9" s="154">
        <f>I9*$I$4+J9*$J$4+K9*$K$4+L9*$L$4+M9*$M$4+N9*$N$4+O9*$O$4</f>
        <v>5295419.2</v>
      </c>
      <c r="I9" s="122">
        <v>6045.4000000000005</v>
      </c>
      <c r="J9" s="122">
        <v>14160.8</v>
      </c>
      <c r="K9" s="122">
        <v>8854.2000000000007</v>
      </c>
      <c r="L9" s="122">
        <v>23568.399999999998</v>
      </c>
      <c r="M9" s="122">
        <v>10212.200000000001</v>
      </c>
      <c r="N9" s="122">
        <v>37376.5</v>
      </c>
      <c r="O9" s="122">
        <f>IF(O4=0,0,ROUND((R9*R4+S9*S4+T9*T4)/O4,0))</f>
        <v>0</v>
      </c>
      <c r="P9" s="59" t="s">
        <v>152</v>
      </c>
      <c r="Q9" s="59"/>
      <c r="R9" s="162"/>
      <c r="S9" s="162">
        <v>23568.399999999998</v>
      </c>
      <c r="T9" s="162">
        <v>37376.5</v>
      </c>
    </row>
    <row r="10" spans="1:20" s="153" customFormat="1" x14ac:dyDescent="0.2">
      <c r="A10" s="159">
        <v>226</v>
      </c>
      <c r="B10" s="158" t="s">
        <v>138</v>
      </c>
      <c r="C10" s="163">
        <v>25660</v>
      </c>
      <c r="D10" s="156">
        <f>'пр.1+2 '!D42:E42</f>
        <v>25660</v>
      </c>
      <c r="E10" s="151">
        <f t="shared" si="1"/>
        <v>0</v>
      </c>
      <c r="F10" s="154">
        <f>ROUND(C10/$E$4,2)</f>
        <v>36.76</v>
      </c>
      <c r="G10" s="154"/>
      <c r="H10" s="154"/>
      <c r="I10" s="57">
        <f>$F$10</f>
        <v>36.76</v>
      </c>
      <c r="J10" s="57">
        <f t="shared" ref="J10:O10" si="2">$F$10</f>
        <v>36.76</v>
      </c>
      <c r="K10" s="57">
        <f t="shared" si="2"/>
        <v>36.76</v>
      </c>
      <c r="L10" s="57">
        <f t="shared" si="2"/>
        <v>36.76</v>
      </c>
      <c r="M10" s="57">
        <f t="shared" si="2"/>
        <v>36.76</v>
      </c>
      <c r="N10" s="57">
        <f t="shared" si="2"/>
        <v>36.76</v>
      </c>
      <c r="O10" s="57">
        <f t="shared" si="2"/>
        <v>36.76</v>
      </c>
      <c r="P10" s="59"/>
      <c r="Q10" s="59"/>
      <c r="R10" s="59"/>
      <c r="S10" s="59"/>
      <c r="T10" s="59"/>
    </row>
    <row r="11" spans="1:20" s="153" customFormat="1" x14ac:dyDescent="0.2">
      <c r="A11" s="159">
        <v>226</v>
      </c>
      <c r="B11" s="158" t="s">
        <v>138</v>
      </c>
      <c r="C11" s="163">
        <v>36000</v>
      </c>
      <c r="D11" s="156">
        <f>'пр.1+2 '!D43</f>
        <v>36000</v>
      </c>
      <c r="E11" s="151">
        <f t="shared" si="1"/>
        <v>0</v>
      </c>
      <c r="F11" s="154"/>
      <c r="G11" s="154"/>
      <c r="H11" s="154"/>
      <c r="I11" s="241"/>
      <c r="J11" s="241"/>
      <c r="K11" s="241"/>
      <c r="L11" s="241"/>
      <c r="M11" s="241"/>
      <c r="N11" s="241"/>
      <c r="O11" s="241"/>
      <c r="P11" s="59"/>
      <c r="Q11" s="59"/>
      <c r="R11" s="59"/>
      <c r="S11" s="59"/>
      <c r="T11" s="59"/>
    </row>
    <row r="12" spans="1:20" s="153" customFormat="1" x14ac:dyDescent="0.2">
      <c r="A12" s="159">
        <v>310</v>
      </c>
      <c r="B12" s="158" t="s">
        <v>138</v>
      </c>
      <c r="C12" s="157">
        <v>216874</v>
      </c>
      <c r="D12" s="156">
        <f>'пр.1+2 '!D45:E45</f>
        <v>216874</v>
      </c>
      <c r="E12" s="151">
        <f t="shared" si="1"/>
        <v>0</v>
      </c>
      <c r="F12" s="154"/>
      <c r="G12" s="155"/>
      <c r="N12" s="57"/>
      <c r="O12" s="59"/>
      <c r="P12" s="59"/>
      <c r="Q12" s="59"/>
      <c r="R12" s="59"/>
    </row>
    <row r="13" spans="1:20" s="153" customFormat="1" x14ac:dyDescent="0.2">
      <c r="A13" s="159">
        <v>340</v>
      </c>
      <c r="B13" s="158" t="s">
        <v>138</v>
      </c>
      <c r="C13" s="157">
        <v>53611</v>
      </c>
      <c r="D13" s="156">
        <f>'пр.1+2 '!D46:E46</f>
        <v>53611</v>
      </c>
      <c r="E13" s="151">
        <f t="shared" si="1"/>
        <v>0</v>
      </c>
      <c r="F13" s="154"/>
      <c r="G13" s="154"/>
    </row>
    <row r="14" spans="1:20" s="153" customFormat="1" x14ac:dyDescent="0.2">
      <c r="A14" s="276" t="s">
        <v>230</v>
      </c>
      <c r="B14" s="158"/>
      <c r="C14" s="157"/>
      <c r="D14" s="156">
        <f>'пр.1+2 '!D94:E94</f>
        <v>0</v>
      </c>
      <c r="E14" s="151">
        <f t="shared" si="1"/>
        <v>0</v>
      </c>
      <c r="F14" s="154"/>
      <c r="G14" s="154"/>
    </row>
    <row r="15" spans="1:20" s="153" customFormat="1" x14ac:dyDescent="0.2">
      <c r="A15" s="276" t="s">
        <v>231</v>
      </c>
      <c r="B15" s="158"/>
      <c r="C15" s="157">
        <v>1050</v>
      </c>
      <c r="D15" s="156">
        <f>'пр.1+2 '!D95:E95</f>
        <v>1050</v>
      </c>
      <c r="E15" s="151">
        <f t="shared" si="1"/>
        <v>0</v>
      </c>
      <c r="F15" s="154"/>
      <c r="G15" s="154"/>
    </row>
    <row r="16" spans="1:20" s="153" customFormat="1" ht="13.5" thickBot="1" x14ac:dyDescent="0.25">
      <c r="A16" s="159"/>
      <c r="B16" s="158"/>
      <c r="C16" s="166">
        <f>SUM(C7:C15)</f>
        <v>19413474</v>
      </c>
      <c r="D16" s="166">
        <f>SUM(D7:D15)</f>
        <v>19413474</v>
      </c>
      <c r="E16" s="166">
        <f>SUM(E7:E13)</f>
        <v>0</v>
      </c>
      <c r="F16" s="154"/>
      <c r="G16" s="155">
        <f>H16-C16</f>
        <v>40028.219999998808</v>
      </c>
      <c r="H16" s="154">
        <f>I16*$I$4+J4*$J$16+K16*$K$4+L16*$L$4+M16*$M$4+N16*$N$4+O16*$O$4</f>
        <v>19453502.219999999</v>
      </c>
      <c r="I16" s="136">
        <f>ROUND(IF(I4=0,0,I8+I9+I10)+IF(I6=0,0,I7/I4),2)</f>
        <v>22320.560000000001</v>
      </c>
      <c r="J16" s="136">
        <f t="shared" ref="J16:O16" si="3">ROUND(IF(J4=0,0,J8+J9+J10)+IF(J6=0,0,J7/J4),2)</f>
        <v>51517.56</v>
      </c>
      <c r="K16" s="136">
        <f t="shared" si="3"/>
        <v>32437.55</v>
      </c>
      <c r="L16" s="136">
        <f t="shared" si="3"/>
        <v>0</v>
      </c>
      <c r="M16" s="136">
        <f t="shared" si="3"/>
        <v>37311.360000000001</v>
      </c>
      <c r="N16" s="136">
        <f t="shared" si="3"/>
        <v>0</v>
      </c>
      <c r="O16" s="136">
        <f t="shared" si="3"/>
        <v>0</v>
      </c>
      <c r="P16" s="240"/>
    </row>
    <row r="17" spans="1:21" s="153" customFormat="1" x14ac:dyDescent="0.2">
      <c r="A17" s="159"/>
      <c r="B17" s="158"/>
      <c r="C17" s="166"/>
      <c r="D17" s="166"/>
      <c r="E17" s="166"/>
      <c r="F17" s="154"/>
      <c r="G17" s="155"/>
      <c r="H17" s="154" t="s">
        <v>156</v>
      </c>
      <c r="I17" s="153">
        <f>-ROUND($G$16/$E$4,2)</f>
        <v>-57.35</v>
      </c>
      <c r="J17" s="153">
        <f t="shared" ref="J17:O17" si="4">-ROUND($G$16/$E$4,2)</f>
        <v>-57.35</v>
      </c>
      <c r="K17" s="153">
        <f t="shared" si="4"/>
        <v>-57.35</v>
      </c>
      <c r="L17" s="153">
        <f t="shared" si="4"/>
        <v>-57.35</v>
      </c>
      <c r="M17" s="153">
        <f t="shared" si="4"/>
        <v>-57.35</v>
      </c>
      <c r="N17" s="153">
        <f t="shared" si="4"/>
        <v>-57.35</v>
      </c>
      <c r="O17" s="153">
        <f t="shared" si="4"/>
        <v>-57.35</v>
      </c>
    </row>
    <row r="18" spans="1:21" s="153" customFormat="1" x14ac:dyDescent="0.2">
      <c r="A18" s="159"/>
      <c r="B18" s="158"/>
      <c r="C18" s="166"/>
      <c r="D18" s="166"/>
      <c r="E18" s="166"/>
      <c r="F18" s="154"/>
      <c r="G18" s="155">
        <f>C16-H18</f>
        <v>2.0799999982118607</v>
      </c>
      <c r="H18" s="154">
        <f>I18*$I$4+J18*$J$4+K18*$K$4+L18*$L$4+M18*$M$4+N18*$N$4+O18*$O$4</f>
        <v>19413471.920000002</v>
      </c>
      <c r="I18" s="153">
        <f>I16+I17</f>
        <v>22263.210000000003</v>
      </c>
      <c r="J18" s="153">
        <f>J16+J17</f>
        <v>51460.21</v>
      </c>
      <c r="K18" s="153">
        <f t="shared" ref="K18:O18" si="5">K16+K17</f>
        <v>32380.2</v>
      </c>
      <c r="L18" s="153">
        <f t="shared" si="5"/>
        <v>-57.35</v>
      </c>
      <c r="M18" s="153">
        <f t="shared" si="5"/>
        <v>37254.01</v>
      </c>
      <c r="N18" s="153">
        <f t="shared" si="5"/>
        <v>-57.35</v>
      </c>
      <c r="O18" s="153">
        <f t="shared" si="5"/>
        <v>-57.35</v>
      </c>
    </row>
    <row r="19" spans="1:21" x14ac:dyDescent="0.2">
      <c r="A19" s="65">
        <v>211</v>
      </c>
      <c r="B19" s="65">
        <v>901</v>
      </c>
      <c r="C19" s="152"/>
      <c r="D19" s="297">
        <f>свод!F16+свод!F39</f>
        <v>0</v>
      </c>
      <c r="E19" s="297">
        <f t="shared" si="1"/>
        <v>0</v>
      </c>
      <c r="F19" s="154">
        <f>ROUND(C19/$E$4,2)</f>
        <v>0</v>
      </c>
      <c r="G19" s="155">
        <f>H19-C19</f>
        <v>0</v>
      </c>
      <c r="H19" s="154">
        <f t="shared" ref="H19:H31" si="6">I19*$I$4+J19*$J$4+K19*$K$4+L19*$L$4+M19*$M$4+N19*$N$4+O19*$O$4</f>
        <v>0</v>
      </c>
      <c r="I19" s="57">
        <f>IF($I$4=0,0,F19)</f>
        <v>0</v>
      </c>
      <c r="J19" s="57">
        <f>IF($J$4=0,0,F19)</f>
        <v>0</v>
      </c>
      <c r="K19" s="57">
        <f>IF($K$4=0,0,F19)</f>
        <v>0</v>
      </c>
      <c r="L19" s="57">
        <f>IF($L$4=0,0,F19)</f>
        <v>0</v>
      </c>
      <c r="M19" s="57">
        <f>IF($M$4=0,0,F19)</f>
        <v>0</v>
      </c>
      <c r="N19" s="57">
        <f>IF($N$4=0,0,F19)</f>
        <v>0</v>
      </c>
      <c r="O19" s="57">
        <f>IF($O$4=0,0,F19)</f>
        <v>0</v>
      </c>
      <c r="R19" s="59"/>
      <c r="S19" s="59"/>
      <c r="T19" s="59"/>
      <c r="U19" s="59"/>
    </row>
    <row r="20" spans="1:21" x14ac:dyDescent="0.2">
      <c r="A20" s="65">
        <v>212</v>
      </c>
      <c r="B20" s="65">
        <v>901</v>
      </c>
      <c r="C20" s="152">
        <v>600</v>
      </c>
      <c r="D20" s="297">
        <f>свод!F31</f>
        <v>600</v>
      </c>
      <c r="E20" s="297">
        <f t="shared" si="1"/>
        <v>0</v>
      </c>
      <c r="F20" s="154">
        <f t="shared" ref="F20:F31" si="7">ROUND(C20/$E$4,2)</f>
        <v>0.86</v>
      </c>
      <c r="G20" s="155">
        <f t="shared" ref="G20:G31" si="8">H20-C20</f>
        <v>0.27999999999997272</v>
      </c>
      <c r="H20" s="154">
        <f>I20*$I$4+J20*$J$4+K20*$K$4+L20*$L$4+M20*$M$4+N20*$N$4+O20*$O$4</f>
        <v>600.28</v>
      </c>
      <c r="I20" s="57">
        <f t="shared" ref="I20:I31" si="9">IF($I$4=0,0,F20)</f>
        <v>0.86</v>
      </c>
      <c r="J20" s="57">
        <f t="shared" ref="J20:J31" si="10">IF($J$4=0,0,F20)</f>
        <v>0.86</v>
      </c>
      <c r="K20" s="57">
        <f t="shared" ref="K20:K31" si="11">IF($K$4=0,0,I20)</f>
        <v>0.86</v>
      </c>
      <c r="L20" s="57">
        <f t="shared" ref="L20:L31" si="12">IF($L$4=0,0,F20)</f>
        <v>0</v>
      </c>
      <c r="M20" s="57">
        <f t="shared" ref="M20:M31" si="13">IF($M$4=0,0,F20)</f>
        <v>0.86</v>
      </c>
      <c r="N20" s="57">
        <f t="shared" ref="N20:N31" si="14">IF($N$4=0,0,F20)</f>
        <v>0</v>
      </c>
      <c r="O20" s="57">
        <f t="shared" ref="O20:O31" si="15">IF($O$4=0,0,F20)</f>
        <v>0</v>
      </c>
      <c r="R20" s="59"/>
      <c r="S20" s="59"/>
      <c r="T20" s="59"/>
      <c r="U20" s="59"/>
    </row>
    <row r="21" spans="1:21" x14ac:dyDescent="0.2">
      <c r="A21" s="65">
        <v>213</v>
      </c>
      <c r="B21" s="65">
        <v>901</v>
      </c>
      <c r="C21" s="152">
        <v>0</v>
      </c>
      <c r="D21" s="297">
        <f>свод!F17+свод!F41</f>
        <v>0</v>
      </c>
      <c r="E21" s="297">
        <f t="shared" si="1"/>
        <v>0</v>
      </c>
      <c r="F21" s="154">
        <f>ROUND((C21+C30+C31)/$E$4,2)</f>
        <v>0</v>
      </c>
      <c r="G21" s="155">
        <f t="shared" si="8"/>
        <v>0</v>
      </c>
      <c r="H21" s="154">
        <f t="shared" si="6"/>
        <v>0</v>
      </c>
      <c r="I21" s="57">
        <f t="shared" si="9"/>
        <v>0</v>
      </c>
      <c r="J21" s="57">
        <f t="shared" si="10"/>
        <v>0</v>
      </c>
      <c r="K21" s="57">
        <f t="shared" si="11"/>
        <v>0</v>
      </c>
      <c r="L21" s="57">
        <f t="shared" si="12"/>
        <v>0</v>
      </c>
      <c r="M21" s="57">
        <f t="shared" si="13"/>
        <v>0</v>
      </c>
      <c r="N21" s="57">
        <f t="shared" si="14"/>
        <v>0</v>
      </c>
      <c r="O21" s="57">
        <f t="shared" si="15"/>
        <v>0</v>
      </c>
    </row>
    <row r="22" spans="1:21" x14ac:dyDescent="0.2">
      <c r="A22" s="65">
        <v>221</v>
      </c>
      <c r="B22" s="65">
        <v>901</v>
      </c>
      <c r="C22" s="152">
        <v>21441</v>
      </c>
      <c r="D22" s="151">
        <f>свод!F67</f>
        <v>21441</v>
      </c>
      <c r="E22" s="151">
        <f t="shared" si="1"/>
        <v>0</v>
      </c>
      <c r="F22" s="154">
        <f t="shared" si="7"/>
        <v>30.72</v>
      </c>
      <c r="G22" s="155">
        <f t="shared" si="8"/>
        <v>1.5600000000013097</v>
      </c>
      <c r="H22" s="154">
        <f t="shared" si="6"/>
        <v>21442.560000000001</v>
      </c>
      <c r="I22" s="57">
        <f t="shared" si="9"/>
        <v>30.72</v>
      </c>
      <c r="J22" s="57">
        <f t="shared" si="10"/>
        <v>30.72</v>
      </c>
      <c r="K22" s="57">
        <f t="shared" si="11"/>
        <v>30.72</v>
      </c>
      <c r="L22" s="57">
        <f t="shared" si="12"/>
        <v>0</v>
      </c>
      <c r="M22" s="57">
        <f t="shared" si="13"/>
        <v>30.72</v>
      </c>
      <c r="N22" s="57">
        <f t="shared" si="14"/>
        <v>0</v>
      </c>
      <c r="O22" s="57">
        <f t="shared" si="15"/>
        <v>0</v>
      </c>
    </row>
    <row r="23" spans="1:21" x14ac:dyDescent="0.2">
      <c r="A23" s="65">
        <v>222</v>
      </c>
      <c r="B23" s="65">
        <v>901</v>
      </c>
      <c r="C23" s="152"/>
      <c r="D23" s="151">
        <f>свод!F68</f>
        <v>0</v>
      </c>
      <c r="E23" s="151">
        <f t="shared" si="1"/>
        <v>0</v>
      </c>
      <c r="F23" s="154">
        <f t="shared" si="7"/>
        <v>0</v>
      </c>
      <c r="G23" s="155">
        <f t="shared" si="8"/>
        <v>0</v>
      </c>
      <c r="H23" s="154">
        <f t="shared" si="6"/>
        <v>0</v>
      </c>
      <c r="I23" s="57">
        <f t="shared" si="9"/>
        <v>0</v>
      </c>
      <c r="J23" s="57">
        <f t="shared" si="10"/>
        <v>0</v>
      </c>
      <c r="K23" s="57">
        <f t="shared" si="11"/>
        <v>0</v>
      </c>
      <c r="L23" s="57">
        <f t="shared" si="12"/>
        <v>0</v>
      </c>
      <c r="M23" s="57">
        <f t="shared" si="13"/>
        <v>0</v>
      </c>
      <c r="N23" s="57">
        <f t="shared" si="14"/>
        <v>0</v>
      </c>
      <c r="O23" s="57">
        <f t="shared" si="15"/>
        <v>0</v>
      </c>
    </row>
    <row r="24" spans="1:21" x14ac:dyDescent="0.2">
      <c r="A24" s="65">
        <v>223</v>
      </c>
      <c r="B24" s="65">
        <v>901</v>
      </c>
      <c r="C24" s="152">
        <v>1142915</v>
      </c>
      <c r="D24" s="151">
        <f>свод!F104+свод!F112+свод!F113</f>
        <v>1142915</v>
      </c>
      <c r="E24" s="151">
        <f t="shared" si="1"/>
        <v>0</v>
      </c>
      <c r="F24" s="154">
        <f t="shared" si="7"/>
        <v>1637.41</v>
      </c>
      <c r="G24" s="155">
        <f t="shared" si="8"/>
        <v>-2.8200000000651926</v>
      </c>
      <c r="H24" s="154">
        <f t="shared" si="6"/>
        <v>1142912.18</v>
      </c>
      <c r="I24" s="57">
        <f>IF($I$4=0,0,F24)</f>
        <v>1637.41</v>
      </c>
      <c r="J24" s="57">
        <f t="shared" si="10"/>
        <v>1637.41</v>
      </c>
      <c r="K24" s="57">
        <f t="shared" si="11"/>
        <v>1637.41</v>
      </c>
      <c r="L24" s="57">
        <f t="shared" si="12"/>
        <v>0</v>
      </c>
      <c r="M24" s="57">
        <f t="shared" si="13"/>
        <v>1637.41</v>
      </c>
      <c r="N24" s="57">
        <f t="shared" si="14"/>
        <v>0</v>
      </c>
      <c r="O24" s="57">
        <f t="shared" si="15"/>
        <v>0</v>
      </c>
    </row>
    <row r="25" spans="1:21" x14ac:dyDescent="0.2">
      <c r="A25" s="65">
        <v>224</v>
      </c>
      <c r="B25" s="65">
        <v>901</v>
      </c>
      <c r="C25" s="152"/>
      <c r="D25" s="151"/>
      <c r="E25" s="151">
        <f t="shared" si="1"/>
        <v>0</v>
      </c>
      <c r="F25" s="154">
        <f t="shared" si="7"/>
        <v>0</v>
      </c>
      <c r="G25" s="155">
        <f t="shared" si="8"/>
        <v>0</v>
      </c>
      <c r="H25" s="154">
        <f t="shared" si="6"/>
        <v>0</v>
      </c>
      <c r="I25" s="57">
        <f t="shared" si="9"/>
        <v>0</v>
      </c>
      <c r="J25" s="57">
        <f t="shared" si="10"/>
        <v>0</v>
      </c>
      <c r="K25" s="57">
        <f t="shared" si="11"/>
        <v>0</v>
      </c>
      <c r="L25" s="57">
        <f t="shared" si="12"/>
        <v>0</v>
      </c>
      <c r="M25" s="57">
        <f t="shared" si="13"/>
        <v>0</v>
      </c>
      <c r="N25" s="57">
        <f t="shared" si="14"/>
        <v>0</v>
      </c>
      <c r="O25" s="57">
        <f t="shared" si="15"/>
        <v>0</v>
      </c>
    </row>
    <row r="26" spans="1:21" x14ac:dyDescent="0.2">
      <c r="A26" s="65">
        <v>225</v>
      </c>
      <c r="B26" s="65">
        <v>901</v>
      </c>
      <c r="C26" s="152">
        <v>263737</v>
      </c>
      <c r="D26" s="151">
        <f>свод!F45+свод!F46+свод!F47+свод!F48+свод!F49+свод!F52+свод!F53+свод!F54+свод!F55+свод!F56+свод!F57+свод!F58+свод!F59+свод!F60+свод!F61+свод!F62</f>
        <v>263737</v>
      </c>
      <c r="E26" s="151">
        <f t="shared" si="1"/>
        <v>0</v>
      </c>
      <c r="F26" s="154">
        <f>ROUND(C26/$E$4,2)</f>
        <v>377.85</v>
      </c>
      <c r="G26" s="155">
        <f t="shared" si="8"/>
        <v>2.2999999999883585</v>
      </c>
      <c r="H26" s="154">
        <f t="shared" si="6"/>
        <v>263739.3</v>
      </c>
      <c r="I26" s="57">
        <f>IF($I$4=0,0,F26)</f>
        <v>377.85</v>
      </c>
      <c r="J26" s="57">
        <f t="shared" si="10"/>
        <v>377.85</v>
      </c>
      <c r="K26" s="57">
        <f t="shared" si="11"/>
        <v>377.85</v>
      </c>
      <c r="L26" s="57">
        <f t="shared" si="12"/>
        <v>0</v>
      </c>
      <c r="M26" s="57">
        <f t="shared" si="13"/>
        <v>377.85</v>
      </c>
      <c r="N26" s="57">
        <f t="shared" si="14"/>
        <v>0</v>
      </c>
      <c r="O26" s="57">
        <f t="shared" si="15"/>
        <v>0</v>
      </c>
    </row>
    <row r="27" spans="1:21" x14ac:dyDescent="0.2">
      <c r="A27" s="65">
        <v>226</v>
      </c>
      <c r="B27" s="65">
        <v>901</v>
      </c>
      <c r="C27" s="152">
        <v>189968</v>
      </c>
      <c r="D27" s="151">
        <f>свод!F50+свод!F69+свод!F70+свод!F72+свод!F73+свод!F74+свод!F75+свод!F76+свод!F77</f>
        <v>189968</v>
      </c>
      <c r="E27" s="151">
        <f t="shared" si="1"/>
        <v>0</v>
      </c>
      <c r="F27" s="154">
        <f t="shared" si="7"/>
        <v>272.16000000000003</v>
      </c>
      <c r="G27" s="155">
        <f t="shared" si="8"/>
        <v>-0.31999999997788109</v>
      </c>
      <c r="H27" s="154">
        <f t="shared" si="6"/>
        <v>189967.68000000002</v>
      </c>
      <c r="I27" s="57">
        <f t="shared" si="9"/>
        <v>272.16000000000003</v>
      </c>
      <c r="J27" s="57">
        <f t="shared" si="10"/>
        <v>272.16000000000003</v>
      </c>
      <c r="K27" s="57">
        <f t="shared" si="11"/>
        <v>272.16000000000003</v>
      </c>
      <c r="L27" s="57">
        <f t="shared" si="12"/>
        <v>0</v>
      </c>
      <c r="M27" s="57">
        <f t="shared" si="13"/>
        <v>272.16000000000003</v>
      </c>
      <c r="N27" s="57">
        <f t="shared" si="14"/>
        <v>0</v>
      </c>
      <c r="O27" s="57">
        <f t="shared" si="15"/>
        <v>0</v>
      </c>
    </row>
    <row r="28" spans="1:21" x14ac:dyDescent="0.2">
      <c r="A28" s="65">
        <v>290</v>
      </c>
      <c r="B28" s="65">
        <v>901</v>
      </c>
      <c r="C28" s="152">
        <v>751027</v>
      </c>
      <c r="D28" s="151">
        <f>свод!F107+свод!F108+свод!F109</f>
        <v>751027</v>
      </c>
      <c r="E28" s="151">
        <f t="shared" si="1"/>
        <v>0</v>
      </c>
      <c r="F28" s="154">
        <f>ROUND(C28/$E$4,2)</f>
        <v>1075.97</v>
      </c>
      <c r="G28" s="155">
        <f t="shared" si="8"/>
        <v>6.0000000055879354E-2</v>
      </c>
      <c r="H28" s="154">
        <f t="shared" si="6"/>
        <v>751027.06</v>
      </c>
      <c r="I28" s="57">
        <f t="shared" si="9"/>
        <v>1075.97</v>
      </c>
      <c r="J28" s="57">
        <f t="shared" si="10"/>
        <v>1075.97</v>
      </c>
      <c r="K28" s="57">
        <f t="shared" si="11"/>
        <v>1075.97</v>
      </c>
      <c r="L28" s="57">
        <f t="shared" si="12"/>
        <v>0</v>
      </c>
      <c r="M28" s="57">
        <f t="shared" si="13"/>
        <v>1075.97</v>
      </c>
      <c r="N28" s="57">
        <f t="shared" si="14"/>
        <v>0</v>
      </c>
      <c r="O28" s="57">
        <f t="shared" si="15"/>
        <v>0</v>
      </c>
    </row>
    <row r="29" spans="1:21" x14ac:dyDescent="0.2">
      <c r="A29" s="65">
        <v>340</v>
      </c>
      <c r="B29" s="65">
        <v>901</v>
      </c>
      <c r="C29" s="152"/>
      <c r="D29" s="151">
        <f>свод!F89</f>
        <v>0</v>
      </c>
      <c r="E29" s="151">
        <f t="shared" si="1"/>
        <v>0</v>
      </c>
      <c r="F29" s="154">
        <f t="shared" si="7"/>
        <v>0</v>
      </c>
      <c r="G29" s="155">
        <f t="shared" si="8"/>
        <v>0</v>
      </c>
      <c r="H29" s="154">
        <f t="shared" si="6"/>
        <v>0</v>
      </c>
      <c r="I29" s="57">
        <f t="shared" si="9"/>
        <v>0</v>
      </c>
      <c r="J29" s="57">
        <f t="shared" si="10"/>
        <v>0</v>
      </c>
      <c r="K29" s="57">
        <f t="shared" si="11"/>
        <v>0</v>
      </c>
      <c r="L29" s="57">
        <f t="shared" si="12"/>
        <v>0</v>
      </c>
      <c r="M29" s="57">
        <f t="shared" si="13"/>
        <v>0</v>
      </c>
      <c r="N29" s="57">
        <f t="shared" si="14"/>
        <v>0</v>
      </c>
      <c r="O29" s="57">
        <f t="shared" si="15"/>
        <v>0</v>
      </c>
    </row>
    <row r="30" spans="1:21" x14ac:dyDescent="0.2">
      <c r="A30" s="276" t="s">
        <v>230</v>
      </c>
      <c r="B30" s="158"/>
      <c r="C30" s="157"/>
      <c r="D30" s="151">
        <f>свод!F90</f>
        <v>0</v>
      </c>
      <c r="E30" s="151">
        <f t="shared" si="1"/>
        <v>0</v>
      </c>
      <c r="F30" s="154">
        <f t="shared" si="7"/>
        <v>0</v>
      </c>
      <c r="G30" s="155">
        <f t="shared" si="8"/>
        <v>0</v>
      </c>
      <c r="H30" s="154">
        <f t="shared" si="6"/>
        <v>0</v>
      </c>
      <c r="I30" s="57">
        <f t="shared" si="9"/>
        <v>0</v>
      </c>
      <c r="J30" s="57">
        <f t="shared" si="10"/>
        <v>0</v>
      </c>
      <c r="K30" s="57">
        <f t="shared" si="11"/>
        <v>0</v>
      </c>
      <c r="L30" s="57">
        <f t="shared" si="12"/>
        <v>0</v>
      </c>
      <c r="M30" s="57">
        <f t="shared" si="13"/>
        <v>0</v>
      </c>
      <c r="N30" s="57">
        <f t="shared" si="14"/>
        <v>0</v>
      </c>
      <c r="O30" s="57">
        <f t="shared" si="15"/>
        <v>0</v>
      </c>
    </row>
    <row r="31" spans="1:21" x14ac:dyDescent="0.2">
      <c r="A31" s="276" t="s">
        <v>231</v>
      </c>
      <c r="B31" s="158"/>
      <c r="C31" s="157"/>
      <c r="D31" s="151">
        <f>свод!F91</f>
        <v>0</v>
      </c>
      <c r="E31" s="151">
        <f t="shared" si="1"/>
        <v>0</v>
      </c>
      <c r="F31" s="154">
        <f t="shared" si="7"/>
        <v>0</v>
      </c>
      <c r="G31" s="155">
        <f t="shared" si="8"/>
        <v>0</v>
      </c>
      <c r="H31" s="154">
        <f t="shared" si="6"/>
        <v>0</v>
      </c>
      <c r="I31" s="57">
        <f t="shared" si="9"/>
        <v>0</v>
      </c>
      <c r="J31" s="57">
        <f t="shared" si="10"/>
        <v>0</v>
      </c>
      <c r="K31" s="57">
        <f t="shared" si="11"/>
        <v>0</v>
      </c>
      <c r="L31" s="57">
        <f t="shared" si="12"/>
        <v>0</v>
      </c>
      <c r="M31" s="57">
        <f t="shared" si="13"/>
        <v>0</v>
      </c>
      <c r="N31" s="57">
        <f t="shared" si="14"/>
        <v>0</v>
      </c>
      <c r="O31" s="57">
        <f t="shared" si="15"/>
        <v>0</v>
      </c>
    </row>
    <row r="32" spans="1:21" x14ac:dyDescent="0.2">
      <c r="F32" s="60"/>
      <c r="G32" s="164">
        <f>G18+G19+G20+G21+G22+G23+G24+G25+G26+G27+G28+G29</f>
        <v>3.1399999982143072</v>
      </c>
      <c r="H32" s="153">
        <f>H18+H19+H20+H21+H22+H23+H24+H25+H26+H27+H28+H29</f>
        <v>21783160.98</v>
      </c>
      <c r="I32" s="153">
        <f>IF(I4=0,0,I18+I19+I20+I21+I22+I23+I24+I25+I26+I27+I28+I29)</f>
        <v>25658.180000000004</v>
      </c>
      <c r="J32" s="153">
        <f t="shared" ref="J32:O32" si="16">IF(J4=0,0,J18+J19+J20+J21+J22+J23+J24+J25+J26+J27+J28+J29)</f>
        <v>54855.180000000008</v>
      </c>
      <c r="K32" s="153">
        <f t="shared" si="16"/>
        <v>35775.170000000006</v>
      </c>
      <c r="L32" s="153">
        <f t="shared" si="16"/>
        <v>0</v>
      </c>
      <c r="M32" s="153">
        <f t="shared" si="16"/>
        <v>40648.98000000001</v>
      </c>
      <c r="N32" s="153">
        <f t="shared" si="16"/>
        <v>0</v>
      </c>
      <c r="O32" s="153">
        <f t="shared" si="16"/>
        <v>0</v>
      </c>
      <c r="P32" s="153"/>
    </row>
    <row r="33" spans="7:15" x14ac:dyDescent="0.2">
      <c r="I33" s="415">
        <f>IF((I4+J4)=0,0,ROUND((I32*I4+J32*J4)/(I4+J4),2))</f>
        <v>25827.93</v>
      </c>
      <c r="J33" s="415"/>
      <c r="K33" s="406">
        <f t="shared" ref="K33" si="17">IF((K4+L4)=0,0,ROUND((K32*K4+L32*L4)/(K4+L4),2))</f>
        <v>35775.17</v>
      </c>
      <c r="L33" s="406"/>
      <c r="M33" s="275">
        <f t="shared" ref="M33" si="18">IF((M4+N4)=0,0,ROUND((M32*M4+N32*N4)/(M4+N4),2))</f>
        <v>40648.980000000003</v>
      </c>
      <c r="N33" s="275"/>
      <c r="O33" s="57">
        <f>O32</f>
        <v>0</v>
      </c>
    </row>
    <row r="34" spans="7:15" x14ac:dyDescent="0.2">
      <c r="N34" s="74"/>
    </row>
    <row r="36" spans="7:15" x14ac:dyDescent="0.2">
      <c r="I36" s="74">
        <f>I33*(I4+J4)+K33*(K4+L4)+M33*(M4+N4)+O4*O33-C6</f>
        <v>-1.0200000032782555</v>
      </c>
    </row>
    <row r="38" spans="7:15" x14ac:dyDescent="0.2">
      <c r="G38" s="57">
        <v>14736</v>
      </c>
      <c r="H38" s="57">
        <f>G38*0.05</f>
        <v>736.80000000000007</v>
      </c>
      <c r="I38" s="57">
        <f>2638/4</f>
        <v>659.5</v>
      </c>
    </row>
    <row r="39" spans="7:15" x14ac:dyDescent="0.2">
      <c r="H39" s="57">
        <f>G38+I38</f>
        <v>15395.5</v>
      </c>
      <c r="I39" s="57">
        <f>0.98/4</f>
        <v>0.245</v>
      </c>
    </row>
    <row r="54" spans="1:1" x14ac:dyDescent="0.2">
      <c r="A54" s="57" t="s">
        <v>149</v>
      </c>
    </row>
    <row r="57" spans="1:1" x14ac:dyDescent="0.2">
      <c r="A57" s="57" t="s">
        <v>150</v>
      </c>
    </row>
  </sheetData>
  <mergeCells count="6">
    <mergeCell ref="M2:N2"/>
    <mergeCell ref="I33:J33"/>
    <mergeCell ref="K33:L33"/>
    <mergeCell ref="A2:E2"/>
    <mergeCell ref="I2:J2"/>
    <mergeCell ref="K2:L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C1" zoomScale="80" zoomScaleNormal="80" workbookViewId="0">
      <selection activeCell="Q27" sqref="Q27"/>
    </sheetView>
  </sheetViews>
  <sheetFormatPr defaultRowHeight="12.75" x14ac:dyDescent="0.2"/>
  <cols>
    <col min="1" max="2" width="7.5703125" style="57" customWidth="1"/>
    <col min="3" max="3" width="15.5703125" style="57" customWidth="1"/>
    <col min="4" max="4" width="18.140625" style="57" customWidth="1"/>
    <col min="5" max="5" width="15.140625" style="57" customWidth="1"/>
    <col min="6" max="6" width="8" style="57" customWidth="1"/>
    <col min="7" max="7" width="13.42578125" style="57" bestFit="1" customWidth="1"/>
    <col min="8" max="8" width="15.85546875" style="57" customWidth="1"/>
    <col min="9" max="9" width="13.42578125" style="57" customWidth="1"/>
    <col min="10" max="10" width="10.7109375" style="57" bestFit="1" customWidth="1"/>
    <col min="11" max="13" width="9.140625" style="57"/>
    <col min="14" max="14" width="10.140625" style="57" bestFit="1" customWidth="1"/>
    <col min="15" max="16384" width="9.140625" style="57"/>
  </cols>
  <sheetData>
    <row r="1" spans="1:20" ht="15.75" x14ac:dyDescent="0.2">
      <c r="F1" s="60"/>
      <c r="G1" s="60"/>
      <c r="H1" s="60"/>
      <c r="I1" s="59" t="s">
        <v>147</v>
      </c>
      <c r="J1" s="59"/>
      <c r="K1" s="59"/>
      <c r="L1" s="59"/>
      <c r="M1" s="59"/>
      <c r="N1" s="150"/>
      <c r="O1" s="59"/>
      <c r="P1" s="59"/>
      <c r="Q1" s="150"/>
      <c r="R1" s="150"/>
    </row>
    <row r="2" spans="1:20" ht="18" x14ac:dyDescent="0.25">
      <c r="A2" s="416" t="s">
        <v>142</v>
      </c>
      <c r="B2" s="416"/>
      <c r="C2" s="416"/>
      <c r="D2" s="416"/>
      <c r="E2" s="416"/>
      <c r="F2" s="60"/>
      <c r="G2" s="60"/>
      <c r="H2" s="60"/>
      <c r="I2" s="414" t="s">
        <v>144</v>
      </c>
      <c r="J2" s="414"/>
      <c r="K2" s="414" t="s">
        <v>143</v>
      </c>
      <c r="L2" s="414"/>
      <c r="M2" s="414" t="s">
        <v>145</v>
      </c>
      <c r="N2" s="414"/>
      <c r="O2" s="59"/>
      <c r="R2" s="59" t="s">
        <v>219</v>
      </c>
      <c r="S2" s="59"/>
    </row>
    <row r="3" spans="1:20" x14ac:dyDescent="0.2">
      <c r="F3" s="60"/>
      <c r="G3" s="60"/>
      <c r="H3" s="60"/>
      <c r="I3" s="59" t="s">
        <v>220</v>
      </c>
      <c r="J3" s="57" t="s">
        <v>218</v>
      </c>
      <c r="K3" s="59" t="s">
        <v>220</v>
      </c>
      <c r="L3" s="57" t="s">
        <v>218</v>
      </c>
      <c r="M3" s="59" t="s">
        <v>220</v>
      </c>
      <c r="N3" s="57" t="s">
        <v>218</v>
      </c>
      <c r="O3" s="59" t="s">
        <v>146</v>
      </c>
      <c r="P3" s="59"/>
      <c r="R3" s="162" t="s">
        <v>148</v>
      </c>
      <c r="S3" s="162" t="s">
        <v>143</v>
      </c>
      <c r="T3" s="162" t="s">
        <v>145</v>
      </c>
    </row>
    <row r="4" spans="1:20" ht="18.75" x14ac:dyDescent="0.3">
      <c r="E4" s="57">
        <f>I4+J4+K4+L4+M4+N4+O4</f>
        <v>747</v>
      </c>
      <c r="F4" s="60"/>
      <c r="G4" s="60" t="s">
        <v>139</v>
      </c>
      <c r="H4" s="60"/>
      <c r="I4" s="148">
        <v>370</v>
      </c>
      <c r="J4" s="148">
        <v>0</v>
      </c>
      <c r="K4" s="148">
        <v>327</v>
      </c>
      <c r="L4" s="148">
        <v>0</v>
      </c>
      <c r="M4" s="148">
        <v>50</v>
      </c>
      <c r="N4" s="148">
        <v>0</v>
      </c>
      <c r="O4" s="148">
        <v>0</v>
      </c>
      <c r="P4" s="161"/>
      <c r="Q4" s="59"/>
      <c r="R4" s="165">
        <v>0</v>
      </c>
      <c r="S4" s="165">
        <v>0</v>
      </c>
      <c r="T4" s="165">
        <v>0</v>
      </c>
    </row>
    <row r="5" spans="1:20" x14ac:dyDescent="0.2">
      <c r="A5" s="65" t="s">
        <v>22</v>
      </c>
      <c r="B5" s="65" t="s">
        <v>141</v>
      </c>
      <c r="C5" s="65" t="s">
        <v>140</v>
      </c>
      <c r="D5" s="65" t="s">
        <v>2</v>
      </c>
      <c r="E5" s="65" t="s">
        <v>139</v>
      </c>
      <c r="F5" s="60"/>
      <c r="G5" s="60"/>
      <c r="H5" s="60"/>
      <c r="I5" s="242"/>
      <c r="J5" s="242"/>
      <c r="K5" s="242"/>
      <c r="L5" s="242"/>
      <c r="M5" s="242"/>
      <c r="N5" s="242"/>
      <c r="O5" s="242"/>
      <c r="P5" s="59"/>
      <c r="Q5" s="59"/>
      <c r="R5" s="162"/>
      <c r="S5" s="162"/>
      <c r="T5" s="162"/>
    </row>
    <row r="6" spans="1:20" s="153" customFormat="1" x14ac:dyDescent="0.2">
      <c r="A6" s="159"/>
      <c r="B6" s="159"/>
      <c r="C6" s="160">
        <f>SUM(C14:C27)</f>
        <v>23249586</v>
      </c>
      <c r="D6" s="160"/>
      <c r="E6" s="160"/>
      <c r="F6" s="155"/>
      <c r="G6" s="155"/>
      <c r="H6" s="155"/>
      <c r="I6" s="165">
        <f>'проверка 2017'!I6</f>
        <v>0</v>
      </c>
      <c r="J6" s="165">
        <f>'проверка 2017'!J6</f>
        <v>0</v>
      </c>
      <c r="K6" s="165">
        <f>'проверка 2017'!K6</f>
        <v>1</v>
      </c>
      <c r="L6" s="165">
        <f>'проверка 2017'!L6</f>
        <v>0</v>
      </c>
      <c r="M6" s="165">
        <f>'проверка 2017'!M6</f>
        <v>0</v>
      </c>
      <c r="N6" s="165">
        <f>'проверка 2017'!N6</f>
        <v>0</v>
      </c>
      <c r="O6" s="165">
        <f>'проверка 2017'!O6</f>
        <v>0</v>
      </c>
      <c r="P6" s="59" t="s">
        <v>154</v>
      </c>
      <c r="Q6" s="59"/>
      <c r="R6" s="162"/>
      <c r="S6" s="162"/>
      <c r="T6" s="162"/>
    </row>
    <row r="7" spans="1:20" s="153" customFormat="1" x14ac:dyDescent="0.2">
      <c r="A7" s="159">
        <v>211</v>
      </c>
      <c r="B7" s="158" t="s">
        <v>138</v>
      </c>
      <c r="C7" s="157">
        <v>15848819</v>
      </c>
      <c r="D7" s="156"/>
      <c r="E7" s="151"/>
      <c r="F7" s="60"/>
      <c r="G7" s="60"/>
      <c r="H7" s="60"/>
      <c r="I7" s="162">
        <v>2771.1</v>
      </c>
      <c r="J7" s="162"/>
      <c r="K7" s="162">
        <v>3576.45</v>
      </c>
      <c r="L7" s="162"/>
      <c r="M7" s="162">
        <v>3755.42</v>
      </c>
      <c r="N7" s="162"/>
      <c r="O7" s="162"/>
      <c r="P7" s="59" t="s">
        <v>153</v>
      </c>
      <c r="Q7" s="59"/>
      <c r="R7" s="162"/>
      <c r="S7" s="162"/>
      <c r="T7" s="162"/>
    </row>
    <row r="8" spans="1:20" s="153" customFormat="1" x14ac:dyDescent="0.2">
      <c r="A8" s="159">
        <v>213</v>
      </c>
      <c r="B8" s="158" t="s">
        <v>138</v>
      </c>
      <c r="C8" s="157">
        <v>4786343</v>
      </c>
      <c r="D8" s="156"/>
      <c r="E8" s="151"/>
      <c r="F8" s="154"/>
      <c r="G8" s="154"/>
      <c r="H8" s="154">
        <f>I8*$I$4+J8*$J$4+K8*$K$4+L8*$L$4+M8*$M$4+N8*$N$4+O8*$O$4</f>
        <v>15057240.300000001</v>
      </c>
      <c r="I8" s="122">
        <v>16238.4</v>
      </c>
      <c r="J8" s="122">
        <v>37320</v>
      </c>
      <c r="K8" s="122">
        <v>23534.9</v>
      </c>
      <c r="L8" s="122">
        <v>61758.400000000001</v>
      </c>
      <c r="M8" s="122">
        <v>27062.400000000001</v>
      </c>
      <c r="N8" s="122">
        <v>97628</v>
      </c>
      <c r="O8" s="122">
        <f>IF(O4=0,0,ROUND((R8*R4+S8*S4+T8*T4)/O4,0))</f>
        <v>0</v>
      </c>
      <c r="P8" s="59" t="s">
        <v>151</v>
      </c>
      <c r="Q8" s="59"/>
      <c r="R8" s="162">
        <v>37320</v>
      </c>
      <c r="S8" s="162">
        <v>61758.400000000001</v>
      </c>
      <c r="T8" s="162">
        <v>97628</v>
      </c>
    </row>
    <row r="9" spans="1:20" s="153" customFormat="1" x14ac:dyDescent="0.2">
      <c r="A9" s="159">
        <v>221</v>
      </c>
      <c r="B9" s="158" t="s">
        <v>138</v>
      </c>
      <c r="C9" s="157">
        <v>68917</v>
      </c>
      <c r="D9" s="156"/>
      <c r="E9" s="151"/>
      <c r="F9" s="154"/>
      <c r="G9" s="154"/>
      <c r="H9" s="154">
        <f>I9*$I$4+J9*$J$4+K9*$K$4+L9*$L$4+M9*$M$4+N9*$N$4+O9*$O$4</f>
        <v>5642731.4000000004</v>
      </c>
      <c r="I9" s="122">
        <v>6045.4000000000005</v>
      </c>
      <c r="J9" s="122">
        <v>14160.8</v>
      </c>
      <c r="K9" s="122">
        <v>8854.2000000000007</v>
      </c>
      <c r="L9" s="122">
        <v>23568.399999999998</v>
      </c>
      <c r="M9" s="122">
        <v>10212.200000000001</v>
      </c>
      <c r="N9" s="122">
        <v>37376.5</v>
      </c>
      <c r="O9" s="122">
        <f>IF(O4=0,0,ROUND((R9*R4+S9*S4+T9*T4)/O4,0))</f>
        <v>0</v>
      </c>
      <c r="P9" s="59" t="s">
        <v>152</v>
      </c>
      <c r="Q9" s="59"/>
      <c r="R9" s="162">
        <v>14160.8</v>
      </c>
      <c r="S9" s="162">
        <v>23568.399999999998</v>
      </c>
      <c r="T9" s="162">
        <v>37376.5</v>
      </c>
    </row>
    <row r="10" spans="1:20" s="153" customFormat="1" x14ac:dyDescent="0.2">
      <c r="A10" s="159">
        <v>226</v>
      </c>
      <c r="B10" s="158" t="s">
        <v>138</v>
      </c>
      <c r="C10" s="163">
        <v>27304</v>
      </c>
      <c r="D10" s="156"/>
      <c r="E10" s="151"/>
      <c r="F10" s="154">
        <f>ROUND(C10/$E$4,2)</f>
        <v>36.549999999999997</v>
      </c>
      <c r="G10" s="154"/>
      <c r="H10" s="154"/>
      <c r="I10" s="57">
        <f>$F$10</f>
        <v>36.549999999999997</v>
      </c>
      <c r="J10" s="57">
        <f t="shared" ref="J10:O10" si="0">$F$10</f>
        <v>36.549999999999997</v>
      </c>
      <c r="K10" s="57">
        <f t="shared" si="0"/>
        <v>36.549999999999997</v>
      </c>
      <c r="L10" s="57">
        <f t="shared" si="0"/>
        <v>36.549999999999997</v>
      </c>
      <c r="M10" s="57">
        <f t="shared" si="0"/>
        <v>36.549999999999997</v>
      </c>
      <c r="N10" s="57">
        <f t="shared" si="0"/>
        <v>36.549999999999997</v>
      </c>
      <c r="O10" s="57">
        <f t="shared" si="0"/>
        <v>36.549999999999997</v>
      </c>
      <c r="P10" s="59"/>
      <c r="Q10" s="59"/>
      <c r="R10" s="59"/>
      <c r="S10" s="59"/>
      <c r="T10" s="59"/>
    </row>
    <row r="11" spans="1:20" s="153" customFormat="1" x14ac:dyDescent="0.2">
      <c r="A11" s="159">
        <v>226</v>
      </c>
      <c r="B11" s="158" t="s">
        <v>138</v>
      </c>
      <c r="C11" s="157">
        <v>36000</v>
      </c>
      <c r="D11" s="156"/>
      <c r="E11" s="151"/>
      <c r="F11" s="154"/>
      <c r="G11" s="154"/>
      <c r="H11" s="154"/>
      <c r="I11" s="241"/>
      <c r="J11" s="241"/>
      <c r="K11" s="241"/>
      <c r="L11" s="241"/>
      <c r="M11" s="241"/>
      <c r="N11" s="241"/>
      <c r="O11" s="241"/>
      <c r="P11" s="59"/>
      <c r="Q11" s="59"/>
      <c r="R11" s="59"/>
      <c r="S11" s="59"/>
      <c r="T11" s="59"/>
    </row>
    <row r="12" spans="1:20" s="153" customFormat="1" x14ac:dyDescent="0.2">
      <c r="A12" s="159">
        <v>310</v>
      </c>
      <c r="B12" s="158" t="s">
        <v>138</v>
      </c>
      <c r="C12" s="157">
        <v>216874</v>
      </c>
      <c r="D12" s="156"/>
      <c r="E12" s="151"/>
      <c r="F12" s="154"/>
      <c r="G12" s="155"/>
      <c r="N12" s="57"/>
      <c r="O12" s="59"/>
      <c r="P12" s="59"/>
      <c r="Q12" s="59"/>
      <c r="R12" s="59"/>
    </row>
    <row r="13" spans="1:20" s="153" customFormat="1" x14ac:dyDescent="0.2">
      <c r="A13" s="159">
        <v>340</v>
      </c>
      <c r="B13" s="158" t="s">
        <v>138</v>
      </c>
      <c r="C13" s="157">
        <v>77641</v>
      </c>
      <c r="D13" s="156"/>
      <c r="E13" s="151"/>
      <c r="F13" s="154"/>
      <c r="G13" s="154"/>
    </row>
    <row r="14" spans="1:20" s="153" customFormat="1" ht="13.5" thickBot="1" x14ac:dyDescent="0.25">
      <c r="A14" s="159"/>
      <c r="B14" s="158"/>
      <c r="C14" s="166">
        <f>SUM(C7:C13)</f>
        <v>21061898</v>
      </c>
      <c r="D14" s="166"/>
      <c r="E14" s="166"/>
      <c r="F14" s="154"/>
      <c r="G14" s="155">
        <f>H14-C14</f>
        <v>-331046.0700000003</v>
      </c>
      <c r="H14" s="154">
        <f>I14*$I$4+J4*$J$14+K14*$K$4+L14*$L$4+M14*$M$4+N14*$N$4+O14*$O$4</f>
        <v>20730851.93</v>
      </c>
      <c r="I14" s="136">
        <f>ROUND(IF(I4=0,0,I8+I9+I10)+IF(I6=0,0,I7/I4),2)</f>
        <v>22320.35</v>
      </c>
      <c r="J14" s="136">
        <f t="shared" ref="J14:O14" si="1">ROUND(IF(J4=0,0,J8+J9+J10)+IF(J6=0,0,J7/J4),2)</f>
        <v>0</v>
      </c>
      <c r="K14" s="136">
        <f t="shared" si="1"/>
        <v>32436.59</v>
      </c>
      <c r="L14" s="136">
        <f t="shared" si="1"/>
        <v>0</v>
      </c>
      <c r="M14" s="136">
        <f t="shared" si="1"/>
        <v>37311.15</v>
      </c>
      <c r="N14" s="136">
        <f t="shared" si="1"/>
        <v>0</v>
      </c>
      <c r="O14" s="136">
        <f t="shared" si="1"/>
        <v>0</v>
      </c>
      <c r="P14" s="240"/>
    </row>
    <row r="15" spans="1:20" s="153" customFormat="1" x14ac:dyDescent="0.2">
      <c r="A15" s="159"/>
      <c r="B15" s="158"/>
      <c r="C15" s="166"/>
      <c r="D15" s="166"/>
      <c r="E15" s="166"/>
      <c r="F15" s="154"/>
      <c r="G15" s="155"/>
      <c r="H15" s="154" t="s">
        <v>156</v>
      </c>
      <c r="I15" s="153">
        <f>-ROUND($G$14/$E$4,2)</f>
        <v>443.17</v>
      </c>
      <c r="J15" s="153">
        <f t="shared" ref="J15:O15" si="2">-ROUND($G$14/$E$4,2)</f>
        <v>443.17</v>
      </c>
      <c r="K15" s="153">
        <f t="shared" si="2"/>
        <v>443.17</v>
      </c>
      <c r="L15" s="153">
        <f t="shared" si="2"/>
        <v>443.17</v>
      </c>
      <c r="M15" s="153">
        <f t="shared" si="2"/>
        <v>443.17</v>
      </c>
      <c r="N15" s="153">
        <f t="shared" si="2"/>
        <v>443.17</v>
      </c>
      <c r="O15" s="153">
        <f t="shared" si="2"/>
        <v>443.17</v>
      </c>
    </row>
    <row r="16" spans="1:20" s="153" customFormat="1" x14ac:dyDescent="0.2">
      <c r="A16" s="159"/>
      <c r="B16" s="158"/>
      <c r="C16" s="166"/>
      <c r="D16" s="166"/>
      <c r="E16" s="166"/>
      <c r="F16" s="154"/>
      <c r="G16" s="155">
        <f>C14-H16</f>
        <v>-1.9200000017881393</v>
      </c>
      <c r="H16" s="154">
        <f>I16*$I$4+J16*$J$4+K16*$K$4+L16*$L$4+M16*$M$4+N16*$N$4+O16*$O$4</f>
        <v>21061899.920000002</v>
      </c>
      <c r="I16" s="153">
        <f>I14+I15</f>
        <v>22763.519999999997</v>
      </c>
      <c r="J16" s="153">
        <f>J14+J15</f>
        <v>443.17</v>
      </c>
      <c r="K16" s="153">
        <f t="shared" ref="K16:O16" si="3">K14+K15</f>
        <v>32879.760000000002</v>
      </c>
      <c r="L16" s="153">
        <f t="shared" si="3"/>
        <v>443.17</v>
      </c>
      <c r="M16" s="153">
        <f t="shared" si="3"/>
        <v>37754.32</v>
      </c>
      <c r="N16" s="153">
        <f t="shared" si="3"/>
        <v>443.17</v>
      </c>
      <c r="O16" s="153">
        <f t="shared" si="3"/>
        <v>443.17</v>
      </c>
    </row>
    <row r="17" spans="1:21" x14ac:dyDescent="0.2">
      <c r="A17" s="65">
        <v>211</v>
      </c>
      <c r="B17" s="65">
        <v>901</v>
      </c>
      <c r="C17" s="152"/>
      <c r="D17" s="151"/>
      <c r="E17" s="151"/>
      <c r="F17" s="154">
        <f>ROUND(C17/$E$4,2)</f>
        <v>0</v>
      </c>
      <c r="G17" s="155">
        <f>H17-C17</f>
        <v>0</v>
      </c>
      <c r="H17" s="154">
        <f t="shared" ref="H17:H27" si="4">I17*$I$4+J17*$J$4+K17*$K$4+L17*$L$4+M17*$M$4+N17*$N$4+O17*$O$4</f>
        <v>0</v>
      </c>
      <c r="I17" s="57">
        <f>IF($I$4=0,0,F17)</f>
        <v>0</v>
      </c>
      <c r="J17" s="57">
        <f>IF($J$4=0,0,F17)</f>
        <v>0</v>
      </c>
      <c r="K17" s="57">
        <f>IF($K$4=0,0,F17)</f>
        <v>0</v>
      </c>
      <c r="L17" s="57">
        <f>IF($L$4=0,0,F17)</f>
        <v>0</v>
      </c>
      <c r="M17" s="57">
        <f>IF($M$4=0,0,F17)</f>
        <v>0</v>
      </c>
      <c r="N17" s="57">
        <f>IF($N$4=0,0,F17)</f>
        <v>0</v>
      </c>
      <c r="O17" s="57">
        <f>IF($O$4=0,0,F17)</f>
        <v>0</v>
      </c>
      <c r="R17" s="59"/>
      <c r="S17" s="59"/>
      <c r="T17" s="59"/>
      <c r="U17" s="59"/>
    </row>
    <row r="18" spans="1:21" x14ac:dyDescent="0.2">
      <c r="A18" s="65">
        <v>212</v>
      </c>
      <c r="B18" s="65">
        <v>901</v>
      </c>
      <c r="C18" s="152">
        <v>600</v>
      </c>
      <c r="D18" s="151"/>
      <c r="E18" s="151"/>
      <c r="F18" s="154">
        <f t="shared" ref="F18:F27" si="5">ROUND(C18/$E$4,2)</f>
        <v>0.8</v>
      </c>
      <c r="G18" s="155">
        <f t="shared" ref="G18:G27" si="6">H18-C18</f>
        <v>-2.3999999999999773</v>
      </c>
      <c r="H18" s="154">
        <f t="shared" si="4"/>
        <v>597.6</v>
      </c>
      <c r="I18" s="57">
        <f t="shared" ref="I18:I27" si="7">IF($I$4=0,0,F18)</f>
        <v>0.8</v>
      </c>
      <c r="J18" s="57">
        <f t="shared" ref="J18:J27" si="8">IF($J$4=0,0,F18)</f>
        <v>0</v>
      </c>
      <c r="K18" s="57">
        <f t="shared" ref="K18:K27" si="9">IF($K$4=0,0,I18)</f>
        <v>0.8</v>
      </c>
      <c r="L18" s="57">
        <f t="shared" ref="L18:L27" si="10">IF($L$4=0,0,F18)</f>
        <v>0</v>
      </c>
      <c r="M18" s="57">
        <f t="shared" ref="M18:M27" si="11">IF($M$4=0,0,F18)</f>
        <v>0.8</v>
      </c>
      <c r="N18" s="57">
        <f t="shared" ref="N18:N27" si="12">IF($N$4=0,0,F18)</f>
        <v>0</v>
      </c>
      <c r="O18" s="57">
        <f t="shared" ref="O18:O27" si="13">IF($O$4=0,0,F18)</f>
        <v>0</v>
      </c>
      <c r="R18" s="59"/>
      <c r="S18" s="59"/>
      <c r="T18" s="59"/>
      <c r="U18" s="59"/>
    </row>
    <row r="19" spans="1:21" x14ac:dyDescent="0.2">
      <c r="A19" s="65">
        <v>213</v>
      </c>
      <c r="B19" s="65">
        <v>901</v>
      </c>
      <c r="C19" s="152"/>
      <c r="D19" s="151"/>
      <c r="E19" s="151"/>
      <c r="F19" s="154">
        <f t="shared" si="5"/>
        <v>0</v>
      </c>
      <c r="G19" s="155">
        <f t="shared" si="6"/>
        <v>0</v>
      </c>
      <c r="H19" s="154">
        <f t="shared" si="4"/>
        <v>0</v>
      </c>
      <c r="I19" s="57">
        <f t="shared" si="7"/>
        <v>0</v>
      </c>
      <c r="J19" s="57">
        <f t="shared" si="8"/>
        <v>0</v>
      </c>
      <c r="K19" s="57">
        <f t="shared" si="9"/>
        <v>0</v>
      </c>
      <c r="L19" s="57">
        <f t="shared" si="10"/>
        <v>0</v>
      </c>
      <c r="M19" s="57">
        <f t="shared" si="11"/>
        <v>0</v>
      </c>
      <c r="N19" s="57">
        <f t="shared" si="12"/>
        <v>0</v>
      </c>
      <c r="O19" s="57">
        <f t="shared" si="13"/>
        <v>0</v>
      </c>
    </row>
    <row r="20" spans="1:21" x14ac:dyDescent="0.2">
      <c r="A20" s="65">
        <v>221</v>
      </c>
      <c r="B20" s="65">
        <v>901</v>
      </c>
      <c r="C20" s="152">
        <v>21441</v>
      </c>
      <c r="D20" s="151"/>
      <c r="E20" s="151"/>
      <c r="F20" s="154">
        <f t="shared" si="5"/>
        <v>28.7</v>
      </c>
      <c r="G20" s="155">
        <f t="shared" si="6"/>
        <v>-2.0999999999985448</v>
      </c>
      <c r="H20" s="154">
        <f t="shared" si="4"/>
        <v>21438.9</v>
      </c>
      <c r="I20" s="57">
        <f t="shared" si="7"/>
        <v>28.7</v>
      </c>
      <c r="J20" s="57">
        <f t="shared" si="8"/>
        <v>0</v>
      </c>
      <c r="K20" s="57">
        <f t="shared" si="9"/>
        <v>28.7</v>
      </c>
      <c r="L20" s="57">
        <f t="shared" si="10"/>
        <v>0</v>
      </c>
      <c r="M20" s="57">
        <f t="shared" si="11"/>
        <v>28.7</v>
      </c>
      <c r="N20" s="57">
        <f t="shared" si="12"/>
        <v>0</v>
      </c>
      <c r="O20" s="57">
        <f t="shared" si="13"/>
        <v>0</v>
      </c>
    </row>
    <row r="21" spans="1:21" x14ac:dyDescent="0.2">
      <c r="A21" s="65">
        <v>222</v>
      </c>
      <c r="B21" s="65">
        <v>901</v>
      </c>
      <c r="C21" s="152"/>
      <c r="D21" s="151"/>
      <c r="E21" s="151"/>
      <c r="F21" s="154">
        <f t="shared" si="5"/>
        <v>0</v>
      </c>
      <c r="G21" s="155">
        <f t="shared" si="6"/>
        <v>0</v>
      </c>
      <c r="H21" s="154">
        <f t="shared" si="4"/>
        <v>0</v>
      </c>
      <c r="I21" s="57">
        <f t="shared" si="7"/>
        <v>0</v>
      </c>
      <c r="J21" s="57">
        <f t="shared" si="8"/>
        <v>0</v>
      </c>
      <c r="K21" s="57">
        <f t="shared" si="9"/>
        <v>0</v>
      </c>
      <c r="L21" s="57">
        <f t="shared" si="10"/>
        <v>0</v>
      </c>
      <c r="M21" s="57">
        <f t="shared" si="11"/>
        <v>0</v>
      </c>
      <c r="N21" s="57">
        <f t="shared" si="12"/>
        <v>0</v>
      </c>
      <c r="O21" s="57">
        <f t="shared" si="13"/>
        <v>0</v>
      </c>
    </row>
    <row r="22" spans="1:21" x14ac:dyDescent="0.2">
      <c r="A22" s="65">
        <v>223</v>
      </c>
      <c r="B22" s="65">
        <v>901</v>
      </c>
      <c r="C22" s="152">
        <v>1142915</v>
      </c>
      <c r="D22" s="151"/>
      <c r="E22" s="151"/>
      <c r="F22" s="154">
        <f t="shared" si="5"/>
        <v>1530.01</v>
      </c>
      <c r="G22" s="155">
        <f t="shared" si="6"/>
        <v>2.4699999999720603</v>
      </c>
      <c r="H22" s="154">
        <f t="shared" si="4"/>
        <v>1142917.47</v>
      </c>
      <c r="I22" s="57">
        <f t="shared" si="7"/>
        <v>1530.01</v>
      </c>
      <c r="J22" s="57">
        <f t="shared" si="8"/>
        <v>0</v>
      </c>
      <c r="K22" s="57">
        <f t="shared" si="9"/>
        <v>1530.01</v>
      </c>
      <c r="L22" s="57">
        <f t="shared" si="10"/>
        <v>0</v>
      </c>
      <c r="M22" s="57">
        <f t="shared" si="11"/>
        <v>1530.01</v>
      </c>
      <c r="N22" s="57">
        <f t="shared" si="12"/>
        <v>0</v>
      </c>
      <c r="O22" s="57">
        <f t="shared" si="13"/>
        <v>0</v>
      </c>
    </row>
    <row r="23" spans="1:21" x14ac:dyDescent="0.2">
      <c r="A23" s="65">
        <v>224</v>
      </c>
      <c r="B23" s="65">
        <v>901</v>
      </c>
      <c r="C23" s="152"/>
      <c r="D23" s="151"/>
      <c r="E23" s="151"/>
      <c r="F23" s="154">
        <f t="shared" si="5"/>
        <v>0</v>
      </c>
      <c r="G23" s="155">
        <f t="shared" si="6"/>
        <v>0</v>
      </c>
      <c r="H23" s="154">
        <f t="shared" si="4"/>
        <v>0</v>
      </c>
      <c r="I23" s="57">
        <f t="shared" si="7"/>
        <v>0</v>
      </c>
      <c r="J23" s="57">
        <f t="shared" si="8"/>
        <v>0</v>
      </c>
      <c r="K23" s="57">
        <f t="shared" si="9"/>
        <v>0</v>
      </c>
      <c r="L23" s="57">
        <f t="shared" si="10"/>
        <v>0</v>
      </c>
      <c r="M23" s="57">
        <f t="shared" si="11"/>
        <v>0</v>
      </c>
      <c r="N23" s="57">
        <f t="shared" si="12"/>
        <v>0</v>
      </c>
      <c r="O23" s="57">
        <f t="shared" si="13"/>
        <v>0</v>
      </c>
    </row>
    <row r="24" spans="1:21" x14ac:dyDescent="0.2">
      <c r="A24" s="65">
        <v>225</v>
      </c>
      <c r="B24" s="65">
        <v>901</v>
      </c>
      <c r="C24" s="152">
        <v>159737</v>
      </c>
      <c r="D24" s="151"/>
      <c r="E24" s="151"/>
      <c r="F24" s="154">
        <f t="shared" si="5"/>
        <v>213.84</v>
      </c>
      <c r="G24" s="155">
        <f t="shared" si="6"/>
        <v>1.4800000000104774</v>
      </c>
      <c r="H24" s="154">
        <f t="shared" si="4"/>
        <v>159738.48000000001</v>
      </c>
      <c r="I24" s="57">
        <f t="shared" si="7"/>
        <v>213.84</v>
      </c>
      <c r="J24" s="57">
        <f t="shared" si="8"/>
        <v>0</v>
      </c>
      <c r="K24" s="57">
        <f t="shared" si="9"/>
        <v>213.84</v>
      </c>
      <c r="L24" s="57">
        <f t="shared" si="10"/>
        <v>0</v>
      </c>
      <c r="M24" s="57">
        <f t="shared" si="11"/>
        <v>213.84</v>
      </c>
      <c r="N24" s="57">
        <f t="shared" si="12"/>
        <v>0</v>
      </c>
      <c r="O24" s="57">
        <f t="shared" si="13"/>
        <v>0</v>
      </c>
    </row>
    <row r="25" spans="1:21" x14ac:dyDescent="0.2">
      <c r="A25" s="65">
        <v>226</v>
      </c>
      <c r="B25" s="65">
        <v>901</v>
      </c>
      <c r="C25" s="152">
        <v>111968</v>
      </c>
      <c r="D25" s="151"/>
      <c r="E25" s="151"/>
      <c r="F25" s="154">
        <f t="shared" si="5"/>
        <v>149.88999999999999</v>
      </c>
      <c r="G25" s="155">
        <f t="shared" si="6"/>
        <v>-0.17000000001280569</v>
      </c>
      <c r="H25" s="154">
        <f t="shared" si="4"/>
        <v>111967.82999999999</v>
      </c>
      <c r="I25" s="57">
        <f t="shared" si="7"/>
        <v>149.88999999999999</v>
      </c>
      <c r="J25" s="57">
        <f t="shared" si="8"/>
        <v>0</v>
      </c>
      <c r="K25" s="57">
        <f t="shared" si="9"/>
        <v>149.88999999999999</v>
      </c>
      <c r="L25" s="57">
        <f t="shared" si="10"/>
        <v>0</v>
      </c>
      <c r="M25" s="57">
        <f t="shared" si="11"/>
        <v>149.88999999999999</v>
      </c>
      <c r="N25" s="57">
        <f t="shared" si="12"/>
        <v>0</v>
      </c>
      <c r="O25" s="57">
        <f t="shared" si="13"/>
        <v>0</v>
      </c>
    </row>
    <row r="26" spans="1:21" x14ac:dyDescent="0.2">
      <c r="A26" s="65">
        <v>290</v>
      </c>
      <c r="B26" s="65">
        <v>901</v>
      </c>
      <c r="C26" s="152">
        <v>751027</v>
      </c>
      <c r="D26" s="151"/>
      <c r="E26" s="151"/>
      <c r="F26" s="154">
        <f>ROUND(C26/$E$4,2)</f>
        <v>1005.39</v>
      </c>
      <c r="G26" s="155">
        <f t="shared" si="6"/>
        <v>-0.67000000004190952</v>
      </c>
      <c r="H26" s="154">
        <f t="shared" si="4"/>
        <v>751026.33</v>
      </c>
      <c r="I26" s="57">
        <f t="shared" si="7"/>
        <v>1005.39</v>
      </c>
      <c r="J26" s="57">
        <f t="shared" si="8"/>
        <v>0</v>
      </c>
      <c r="K26" s="57">
        <f t="shared" si="9"/>
        <v>1005.39</v>
      </c>
      <c r="L26" s="57">
        <f t="shared" si="10"/>
        <v>0</v>
      </c>
      <c r="M26" s="57">
        <f t="shared" si="11"/>
        <v>1005.39</v>
      </c>
      <c r="N26" s="57">
        <f t="shared" si="12"/>
        <v>0</v>
      </c>
      <c r="O26" s="57">
        <f t="shared" si="13"/>
        <v>0</v>
      </c>
    </row>
    <row r="27" spans="1:21" x14ac:dyDescent="0.2">
      <c r="A27" s="65">
        <v>340</v>
      </c>
      <c r="B27" s="65">
        <v>901</v>
      </c>
      <c r="C27" s="152"/>
      <c r="D27" s="151"/>
      <c r="E27" s="151"/>
      <c r="F27" s="154">
        <f t="shared" si="5"/>
        <v>0</v>
      </c>
      <c r="G27" s="155">
        <f t="shared" si="6"/>
        <v>0</v>
      </c>
      <c r="H27" s="154">
        <f t="shared" si="4"/>
        <v>0</v>
      </c>
      <c r="I27" s="57">
        <f t="shared" si="7"/>
        <v>0</v>
      </c>
      <c r="J27" s="57">
        <f t="shared" si="8"/>
        <v>0</v>
      </c>
      <c r="K27" s="57">
        <f t="shared" si="9"/>
        <v>0</v>
      </c>
      <c r="L27" s="57">
        <f t="shared" si="10"/>
        <v>0</v>
      </c>
      <c r="M27" s="57">
        <f t="shared" si="11"/>
        <v>0</v>
      </c>
      <c r="N27" s="57">
        <f t="shared" si="12"/>
        <v>0</v>
      </c>
      <c r="O27" s="57">
        <f t="shared" si="13"/>
        <v>0</v>
      </c>
    </row>
    <row r="28" spans="1:21" x14ac:dyDescent="0.2">
      <c r="F28" s="60"/>
      <c r="G28" s="164">
        <f>G16+G17+G18+G19+G20+G21+G22+G23+G24+G25+G26+G27</f>
        <v>-3.3100000018588389</v>
      </c>
      <c r="H28" s="153">
        <f>H16+H17+H18+H19+H20+H21+H22+H23+H24+H25+H26+H27</f>
        <v>23249586.529999997</v>
      </c>
      <c r="I28" s="153">
        <f>IF(I4=0,0,I16+I17+I18+I19+I20+I21+I22+I23+I24+I25+I26+I27)</f>
        <v>25692.149999999994</v>
      </c>
      <c r="J28" s="153">
        <f t="shared" ref="J28:O28" si="14">IF(J4=0,0,J16+J17+J18+J19+J20+J21+J22+J23+J24+J25+J26+J27)</f>
        <v>0</v>
      </c>
      <c r="K28" s="153">
        <f t="shared" si="14"/>
        <v>35808.39</v>
      </c>
      <c r="L28" s="153">
        <f t="shared" si="14"/>
        <v>0</v>
      </c>
      <c r="M28" s="153">
        <f t="shared" si="14"/>
        <v>40682.949999999997</v>
      </c>
      <c r="N28" s="153">
        <f t="shared" si="14"/>
        <v>0</v>
      </c>
      <c r="O28" s="153">
        <f t="shared" si="14"/>
        <v>0</v>
      </c>
      <c r="P28" s="153"/>
    </row>
    <row r="29" spans="1:21" x14ac:dyDescent="0.2">
      <c r="I29" s="406">
        <f>IF((I4+J4)=0,0,ROUND((I28*I4+J28*J4)/(I4+J4),2))</f>
        <v>25692.15</v>
      </c>
      <c r="J29" s="406"/>
      <c r="K29" s="406">
        <f t="shared" ref="K29" si="15">IF((K4+L4)=0,0,ROUND((K28*K4+L28*L4)/(K4+L4),2))</f>
        <v>35808.39</v>
      </c>
      <c r="L29" s="406"/>
      <c r="M29" s="406">
        <f t="shared" ref="M29" si="16">IF((M4+N4)=0,0,ROUND((M28*M4+N28*N4)/(M4+N4),2))</f>
        <v>40682.949999999997</v>
      </c>
      <c r="N29" s="406"/>
      <c r="O29" s="57">
        <f>O28</f>
        <v>0</v>
      </c>
    </row>
    <row r="30" spans="1:21" x14ac:dyDescent="0.2">
      <c r="N30" s="74"/>
    </row>
    <row r="32" spans="1:21" x14ac:dyDescent="0.2">
      <c r="I32" s="74">
        <f>I29*(I4+J4)+K29*(K4+L4)+M29*(M4+N4)+O4*O29-C6</f>
        <v>0.5300000011920929</v>
      </c>
    </row>
    <row r="50" spans="1:1" x14ac:dyDescent="0.2">
      <c r="A50" s="57" t="s">
        <v>149</v>
      </c>
    </row>
    <row r="53" spans="1:1" x14ac:dyDescent="0.2">
      <c r="A53" s="57" t="s">
        <v>150</v>
      </c>
    </row>
  </sheetData>
  <mergeCells count="7">
    <mergeCell ref="A2:E2"/>
    <mergeCell ref="I2:J2"/>
    <mergeCell ref="K2:L2"/>
    <mergeCell ref="M2:N2"/>
    <mergeCell ref="I29:J29"/>
    <mergeCell ref="K29:L29"/>
    <mergeCell ref="M29:N2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титул</vt:lpstr>
      <vt:lpstr>свод</vt:lpstr>
      <vt:lpstr>пр.1+2 </vt:lpstr>
      <vt:lpstr>пр.3</vt:lpstr>
      <vt:lpstr>пр.4</vt:lpstr>
      <vt:lpstr>пр.5</vt:lpstr>
      <vt:lpstr>пр.6</vt:lpstr>
      <vt:lpstr>проверка 2017</vt:lpstr>
      <vt:lpstr>проверка 2018</vt:lpstr>
      <vt:lpstr>проверка 2019</vt:lpstr>
      <vt:lpstr>304</vt:lpstr>
      <vt:lpstr>'пр.1+2 '!Область_печати</vt:lpstr>
      <vt:lpstr>свод!Область_печати</vt:lpstr>
    </vt:vector>
  </TitlesOfParts>
  <Company>Управление образования города Пензы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smetanina</dc:creator>
  <cp:lastModifiedBy>Пользователь Windows</cp:lastModifiedBy>
  <cp:lastPrinted>2002-12-31T22:32:52Z</cp:lastPrinted>
  <dcterms:created xsi:type="dcterms:W3CDTF">2015-12-22T12:42:46Z</dcterms:created>
  <dcterms:modified xsi:type="dcterms:W3CDTF">2017-11-15T17:54:09Z</dcterms:modified>
</cp:coreProperties>
</file>